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A363802-7B4B-4AE0-968D-309CE95A3437}" xr6:coauthVersionLast="47" xr6:coauthVersionMax="47" xr10:uidLastSave="{00000000-0000-0000-0000-000000000000}"/>
  <bookViews>
    <workbookView xWindow="-120" yWindow="-120" windowWidth="20730" windowHeight="11160" tabRatio="599" xr2:uid="{00000000-000D-0000-FFFF-FFFF00000000}"/>
  </bookViews>
  <sheets>
    <sheet name="L1" sheetId="19" r:id="rId1"/>
    <sheet name="L2" sheetId="11" r:id="rId2"/>
    <sheet name="L3" sheetId="27" r:id="rId3"/>
    <sheet name="L4" sheetId="5" r:id="rId4"/>
    <sheet name="L5" sheetId="7" r:id="rId5"/>
    <sheet name="L6" sheetId="8" r:id="rId6"/>
    <sheet name="L7" sheetId="6" r:id="rId7"/>
    <sheet name="L10" sheetId="22" r:id="rId8"/>
    <sheet name="L11" sheetId="23" r:id="rId9"/>
    <sheet name="L15" sheetId="29" r:id="rId10"/>
    <sheet name="L37FPI" sheetId="1" r:id="rId11"/>
    <sheet name="L37Lives" sheetId="2" r:id="rId12"/>
    <sheet name="L38 FPI" sheetId="4" r:id="rId13"/>
    <sheet name="L38 NOP" sheetId="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2" i="6" l="1"/>
  <c r="AY15" i="6"/>
  <c r="AX15" i="6"/>
  <c r="AY36" i="8"/>
  <c r="AX36" i="8"/>
  <c r="AY5" i="27"/>
  <c r="AW7" i="29"/>
  <c r="BA7" i="29" s="1"/>
  <c r="AW8" i="29"/>
  <c r="AW9" i="29"/>
  <c r="AW10" i="29"/>
  <c r="AW11" i="29"/>
  <c r="AW12" i="29"/>
  <c r="AW13" i="29"/>
  <c r="AW14" i="29"/>
  <c r="BA14" i="29" s="1"/>
  <c r="AW15" i="29"/>
  <c r="BA15" i="29" s="1"/>
  <c r="AW16" i="29"/>
  <c r="AW17" i="29"/>
  <c r="AW18" i="29"/>
  <c r="AW19" i="29"/>
  <c r="AW20" i="29"/>
  <c r="AW21" i="29"/>
  <c r="AW22" i="29"/>
  <c r="BA22" i="29" s="1"/>
  <c r="AW23" i="29"/>
  <c r="BA23" i="29" s="1"/>
  <c r="AW24" i="29"/>
  <c r="AW25" i="29"/>
  <c r="AW26" i="29"/>
  <c r="AW27" i="29"/>
  <c r="AW28" i="29"/>
  <c r="AW29" i="29"/>
  <c r="AW30" i="29"/>
  <c r="BA30" i="29" s="1"/>
  <c r="AW31" i="29"/>
  <c r="BA31" i="29" s="1"/>
  <c r="AW32" i="29"/>
  <c r="AW33" i="29"/>
  <c r="AW34" i="29"/>
  <c r="AW35" i="29"/>
  <c r="AW36" i="29"/>
  <c r="AW37" i="29"/>
  <c r="AW38" i="29"/>
  <c r="BA38" i="29" s="1"/>
  <c r="AW39" i="29"/>
  <c r="BA39" i="29" s="1"/>
  <c r="AW40" i="29"/>
  <c r="AW41" i="29"/>
  <c r="AW42" i="29"/>
  <c r="AW6" i="29"/>
  <c r="BA6" i="29" s="1"/>
  <c r="AX19" i="19"/>
  <c r="AN36" i="8"/>
  <c r="AN66" i="27"/>
  <c r="AT10" i="6"/>
  <c r="AT36" i="8"/>
  <c r="AT66" i="27"/>
  <c r="AV19" i="19"/>
  <c r="AU19" i="19"/>
  <c r="AR22" i="6"/>
  <c r="AR66" i="27"/>
  <c r="AP36" i="8"/>
  <c r="AP31" i="27"/>
  <c r="AQ19" i="19"/>
  <c r="AJ36" i="8"/>
  <c r="AJ8" i="8"/>
  <c r="AH27" i="11"/>
  <c r="AI19" i="19"/>
  <c r="AG36" i="8"/>
  <c r="AF36" i="8"/>
  <c r="AF12" i="22"/>
  <c r="AD36" i="8"/>
  <c r="AE19" i="19"/>
  <c r="AB19" i="11"/>
  <c r="AV19" i="11" s="1"/>
  <c r="Z36" i="8"/>
  <c r="AA31" i="27"/>
  <c r="Z31" i="27"/>
  <c r="X19" i="3"/>
  <c r="X11" i="2"/>
  <c r="Y36" i="8"/>
  <c r="X36" i="8"/>
  <c r="X60" i="27"/>
  <c r="X26" i="27"/>
  <c r="X14" i="11"/>
  <c r="Y19" i="19"/>
  <c r="V36" i="8"/>
  <c r="V66" i="27"/>
  <c r="V41" i="11"/>
  <c r="V14" i="11"/>
  <c r="W57" i="19"/>
  <c r="T22" i="6"/>
  <c r="T36" i="8"/>
  <c r="T22" i="11"/>
  <c r="T14" i="11"/>
  <c r="V57" i="19"/>
  <c r="U57" i="19"/>
  <c r="P41" i="11"/>
  <c r="Q17" i="19"/>
  <c r="O17" i="19"/>
  <c r="O19" i="19"/>
  <c r="N22" i="11"/>
  <c r="O66" i="27"/>
  <c r="N66" i="27"/>
  <c r="N36" i="8"/>
  <c r="N19" i="29"/>
  <c r="AQ25" i="29"/>
  <c r="AQ32" i="29"/>
  <c r="AO25" i="29"/>
  <c r="L12" i="1"/>
  <c r="M12" i="7"/>
  <c r="L17" i="27"/>
  <c r="L27" i="27"/>
  <c r="L23" i="27"/>
  <c r="L22" i="11"/>
  <c r="L14" i="11"/>
  <c r="J36" i="8"/>
  <c r="H36" i="8"/>
  <c r="H14" i="11"/>
  <c r="G63" i="27"/>
  <c r="F63" i="27"/>
  <c r="F23" i="27"/>
  <c r="F19" i="27"/>
  <c r="F18" i="27"/>
  <c r="G17" i="19"/>
  <c r="AA8" i="19"/>
  <c r="BA12" i="29"/>
  <c r="BA13" i="29"/>
  <c r="BA16" i="29"/>
  <c r="BA17" i="29"/>
  <c r="BA18" i="29"/>
  <c r="BA19" i="29"/>
  <c r="BA20" i="29"/>
  <c r="BA21" i="29"/>
  <c r="BA24" i="29"/>
  <c r="BA25" i="29"/>
  <c r="BA26" i="29"/>
  <c r="BA27" i="29"/>
  <c r="BA28" i="29"/>
  <c r="BA29" i="29"/>
  <c r="BA32" i="29"/>
  <c r="BA33" i="29"/>
  <c r="BA34" i="29"/>
  <c r="BA35" i="29"/>
  <c r="BA36" i="29"/>
  <c r="BA37" i="29"/>
  <c r="BA40" i="29"/>
  <c r="BA41" i="29"/>
  <c r="BA42" i="29"/>
  <c r="BA8" i="29"/>
  <c r="BA9" i="29"/>
  <c r="BA10" i="29"/>
  <c r="BA11" i="29"/>
  <c r="AW6" i="1"/>
  <c r="AW7" i="1"/>
  <c r="AW8" i="1"/>
  <c r="AW9" i="1"/>
  <c r="AW10" i="1"/>
  <c r="AW11" i="1"/>
  <c r="AW12" i="1"/>
  <c r="AW13" i="1"/>
  <c r="AW14" i="1"/>
  <c r="D14" i="11"/>
  <c r="E19" i="19"/>
  <c r="C57" i="19"/>
  <c r="B19" i="3"/>
  <c r="B10" i="6"/>
  <c r="B31" i="8"/>
  <c r="B14" i="11"/>
  <c r="B28" i="7"/>
  <c r="C28" i="7"/>
  <c r="AL51" i="27"/>
  <c r="AT47" i="27"/>
  <c r="AR47" i="27"/>
  <c r="AP47" i="27"/>
  <c r="AN47" i="27"/>
  <c r="AJ47" i="27"/>
  <c r="V50" i="27"/>
  <c r="V47" i="27"/>
  <c r="V51" i="27" s="1"/>
  <c r="X47" i="27"/>
  <c r="P50" i="27"/>
  <c r="Y10" i="6"/>
  <c r="H17" i="19"/>
  <c r="G23" i="27"/>
  <c r="G19" i="27"/>
  <c r="G18" i="27"/>
  <c r="D57" i="19"/>
  <c r="AU42" i="29"/>
  <c r="AU38" i="29"/>
  <c r="AU32" i="29"/>
  <c r="AU25" i="29"/>
  <c r="AU22" i="29"/>
  <c r="AU19" i="29"/>
  <c r="AU13" i="29"/>
  <c r="AV9" i="29"/>
  <c r="AU10" i="6"/>
  <c r="AU36" i="8"/>
  <c r="AU66" i="27"/>
  <c r="AS66" i="27"/>
  <c r="AS25" i="29"/>
  <c r="AS22" i="29"/>
  <c r="AS42" i="29" s="1"/>
  <c r="AS19" i="29"/>
  <c r="AS13" i="29"/>
  <c r="AS32" i="29" s="1"/>
  <c r="AQ42" i="29"/>
  <c r="AQ22" i="29"/>
  <c r="AQ19" i="29"/>
  <c r="AQ13" i="29"/>
  <c r="AQ36" i="8"/>
  <c r="AQ31" i="27"/>
  <c r="AQ56" i="19"/>
  <c r="AR19" i="19"/>
  <c r="AO66" i="27"/>
  <c r="AO36" i="8"/>
  <c r="AO22" i="29"/>
  <c r="AO32" i="29" s="1"/>
  <c r="AP34" i="6"/>
  <c r="AK32" i="29"/>
  <c r="AK25" i="29"/>
  <c r="AK22" i="29"/>
  <c r="AK19" i="29"/>
  <c r="AK42" i="29" s="1"/>
  <c r="AK13" i="29"/>
  <c r="AK36" i="8"/>
  <c r="AK9" i="8"/>
  <c r="AI56" i="19"/>
  <c r="AI8" i="19"/>
  <c r="AI25" i="29"/>
  <c r="AI22" i="29"/>
  <c r="AI42" i="29" s="1"/>
  <c r="AI19" i="29"/>
  <c r="AI13" i="29"/>
  <c r="AI32" i="29" s="1"/>
  <c r="AG42" i="29"/>
  <c r="AG32" i="29"/>
  <c r="AG25" i="29"/>
  <c r="AG22" i="29"/>
  <c r="AG19" i="29"/>
  <c r="AG12" i="22"/>
  <c r="AE22" i="29"/>
  <c r="AE19" i="29"/>
  <c r="AE13" i="29"/>
  <c r="AE22" i="6"/>
  <c r="AE36" i="8"/>
  <c r="AF19" i="19"/>
  <c r="Z19" i="19"/>
  <c r="Y14" i="11"/>
  <c r="Y13" i="11"/>
  <c r="Y60" i="27"/>
  <c r="Y26" i="27"/>
  <c r="AA37" i="8"/>
  <c r="AA27" i="11"/>
  <c r="Z27" i="11"/>
  <c r="AC19" i="11"/>
  <c r="AC36" i="8"/>
  <c r="AC32" i="29"/>
  <c r="AC25" i="29"/>
  <c r="AC42" i="29" s="1"/>
  <c r="AC22" i="29"/>
  <c r="AC19" i="29"/>
  <c r="AC13" i="29"/>
  <c r="AC8" i="23"/>
  <c r="AC12" i="22"/>
  <c r="AC6" i="22"/>
  <c r="AA38" i="29"/>
  <c r="AA25" i="29"/>
  <c r="AA22" i="29"/>
  <c r="AA19" i="29"/>
  <c r="AA13" i="29"/>
  <c r="AA32" i="29" s="1"/>
  <c r="W32" i="29" l="1"/>
  <c r="W25" i="29"/>
  <c r="W22" i="29"/>
  <c r="W19" i="29"/>
  <c r="W13" i="29"/>
  <c r="W8" i="23"/>
  <c r="W36" i="8"/>
  <c r="W41" i="11"/>
  <c r="W14" i="11"/>
  <c r="X57" i="19"/>
  <c r="U22" i="6"/>
  <c r="U22" i="11"/>
  <c r="U14" i="11"/>
  <c r="S36" i="8"/>
  <c r="S66" i="27"/>
  <c r="S31" i="27"/>
  <c r="S26" i="27"/>
  <c r="S14" i="27"/>
  <c r="O22" i="29"/>
  <c r="O25" i="29" s="1"/>
  <c r="O32" i="29" s="1"/>
  <c r="O42" i="29" s="1"/>
  <c r="O19" i="29"/>
  <c r="O13" i="29"/>
  <c r="O36" i="8"/>
  <c r="O22" i="11"/>
  <c r="P19" i="19"/>
  <c r="M38" i="29"/>
  <c r="M32" i="29"/>
  <c r="M25" i="29"/>
  <c r="M22" i="29"/>
  <c r="M19" i="29"/>
  <c r="M13" i="29"/>
  <c r="M23" i="27"/>
  <c r="M17" i="27"/>
  <c r="M22" i="11"/>
  <c r="M14" i="11"/>
  <c r="K32" i="29"/>
  <c r="K25" i="29"/>
  <c r="K22" i="29"/>
  <c r="K19" i="29"/>
  <c r="K13" i="29"/>
  <c r="K38" i="29" s="1"/>
  <c r="K42" i="29" s="1"/>
  <c r="K8" i="23"/>
  <c r="K36" i="8"/>
  <c r="K14" i="11"/>
  <c r="F19" i="19"/>
  <c r="E41" i="11"/>
  <c r="E14" i="11"/>
  <c r="I14" i="11"/>
  <c r="I25" i="29"/>
  <c r="I32" i="29" s="1"/>
  <c r="I22" i="29"/>
  <c r="I19" i="29"/>
  <c r="I13" i="29"/>
  <c r="I6" i="22"/>
  <c r="I27" i="6"/>
  <c r="I10" i="6"/>
  <c r="I36" i="8"/>
  <c r="C10" i="6"/>
  <c r="C12" i="22"/>
  <c r="C8" i="23"/>
  <c r="C22" i="29"/>
  <c r="C25" i="29" s="1"/>
  <c r="C32" i="29" s="1"/>
  <c r="C42" i="29" s="1"/>
  <c r="B19" i="29"/>
  <c r="C13" i="29"/>
  <c r="C14" i="11"/>
  <c r="Y11" i="2" l="1"/>
  <c r="Y11" i="1"/>
  <c r="AY18" i="4"/>
  <c r="AW11" i="3" l="1"/>
  <c r="BA11" i="3" s="1"/>
  <c r="AR50" i="27"/>
  <c r="AR51" i="27" s="1"/>
  <c r="AR10" i="27"/>
  <c r="AP50" i="27"/>
  <c r="AP51" i="27" s="1"/>
  <c r="AP10" i="27"/>
  <c r="AN50" i="27"/>
  <c r="AN51" i="27" s="1"/>
  <c r="AN10" i="27"/>
  <c r="AK50" i="27"/>
  <c r="AJ50" i="27"/>
  <c r="AJ51" i="27" s="1"/>
  <c r="AJ10" i="27"/>
  <c r="AH50" i="27"/>
  <c r="AH47" i="27"/>
  <c r="AH10" i="27"/>
  <c r="AF50" i="27"/>
  <c r="AF47" i="27"/>
  <c r="AF10" i="27"/>
  <c r="AD50" i="27"/>
  <c r="AD47" i="27"/>
  <c r="AD10" i="27"/>
  <c r="AB50" i="27"/>
  <c r="AB47" i="27"/>
  <c r="AB10" i="27"/>
  <c r="Z50" i="27"/>
  <c r="Z47" i="27"/>
  <c r="Z10" i="27"/>
  <c r="X50" i="27"/>
  <c r="X51" i="27" s="1"/>
  <c r="X10" i="27"/>
  <c r="D50" i="27"/>
  <c r="D47" i="27"/>
  <c r="D10" i="27"/>
  <c r="B50" i="27"/>
  <c r="B47" i="27"/>
  <c r="B10" i="27"/>
  <c r="AT50" i="27"/>
  <c r="AT51" i="27" s="1"/>
  <c r="AT10" i="27"/>
  <c r="V10" i="27"/>
  <c r="T50" i="27"/>
  <c r="T47" i="27"/>
  <c r="T10" i="27"/>
  <c r="R50" i="27"/>
  <c r="R47" i="27"/>
  <c r="AV14" i="27"/>
  <c r="AZ14" i="27" s="1"/>
  <c r="R10" i="27"/>
  <c r="P47" i="27"/>
  <c r="P10" i="27"/>
  <c r="N50" i="27"/>
  <c r="N47" i="27"/>
  <c r="N10" i="27"/>
  <c r="L50" i="27"/>
  <c r="L47" i="27"/>
  <c r="L10" i="27"/>
  <c r="K50" i="27"/>
  <c r="J50" i="27"/>
  <c r="J47" i="27"/>
  <c r="J10" i="27"/>
  <c r="H50" i="27"/>
  <c r="H47" i="27"/>
  <c r="H10" i="27"/>
  <c r="AI9" i="7"/>
  <c r="AW35" i="6"/>
  <c r="AW37" i="6"/>
  <c r="AV35" i="6"/>
  <c r="AV37" i="6"/>
  <c r="AW32" i="6"/>
  <c r="AW33" i="6"/>
  <c r="AW7" i="6"/>
  <c r="BA7" i="6" s="1"/>
  <c r="AW8" i="6"/>
  <c r="BA8" i="6" s="1"/>
  <c r="AW9" i="6"/>
  <c r="AW10" i="6"/>
  <c r="BA10" i="6" s="1"/>
  <c r="AW11" i="6"/>
  <c r="BA11" i="6" s="1"/>
  <c r="AW12" i="6"/>
  <c r="BA12" i="6" s="1"/>
  <c r="AW13" i="6"/>
  <c r="AW14" i="6"/>
  <c r="BA14" i="6" s="1"/>
  <c r="AW15" i="6"/>
  <c r="BA15" i="6" s="1"/>
  <c r="AW16" i="6"/>
  <c r="AW17" i="6"/>
  <c r="BA17" i="6" s="1"/>
  <c r="AW18" i="6"/>
  <c r="BA18" i="6" s="1"/>
  <c r="AW19" i="6"/>
  <c r="BA19" i="6" s="1"/>
  <c r="AW20" i="6"/>
  <c r="BA20" i="6" s="1"/>
  <c r="AW21" i="6"/>
  <c r="BA21" i="6" s="1"/>
  <c r="AW22" i="6"/>
  <c r="BA22" i="6" s="1"/>
  <c r="AW23" i="6"/>
  <c r="AW24" i="6"/>
  <c r="BA24" i="6" s="1"/>
  <c r="AW25" i="6"/>
  <c r="AW26" i="6"/>
  <c r="AW27" i="6"/>
  <c r="BA27" i="6" s="1"/>
  <c r="AW28" i="6"/>
  <c r="BA28" i="6" s="1"/>
  <c r="AW29" i="6"/>
  <c r="AW30" i="6"/>
  <c r="BA30" i="6" s="1"/>
  <c r="AW31" i="6"/>
  <c r="AV7" i="6"/>
  <c r="AZ7" i="6" s="1"/>
  <c r="AV8" i="6"/>
  <c r="AZ8" i="6" s="1"/>
  <c r="AV9" i="6"/>
  <c r="AV11" i="6"/>
  <c r="AZ11" i="6" s="1"/>
  <c r="AV12" i="6"/>
  <c r="AZ12" i="6" s="1"/>
  <c r="AV13" i="6"/>
  <c r="AZ13" i="6" s="1"/>
  <c r="AV15" i="6"/>
  <c r="AZ15" i="6" s="1"/>
  <c r="AV16" i="6"/>
  <c r="AZ16" i="6" s="1"/>
  <c r="AV17" i="6"/>
  <c r="AZ17" i="6" s="1"/>
  <c r="AV18" i="6"/>
  <c r="AZ18" i="6" s="1"/>
  <c r="AV19" i="6"/>
  <c r="AV20" i="6"/>
  <c r="AZ20" i="6" s="1"/>
  <c r="AV21" i="6"/>
  <c r="AV23" i="6"/>
  <c r="AZ23" i="6" s="1"/>
  <c r="AV24" i="6"/>
  <c r="AZ24" i="6" s="1"/>
  <c r="AV25" i="6"/>
  <c r="AV26" i="6"/>
  <c r="AV27" i="6"/>
  <c r="AZ27" i="6" s="1"/>
  <c r="AV28" i="6"/>
  <c r="AV29" i="6"/>
  <c r="AZ29" i="6" s="1"/>
  <c r="AV30" i="6"/>
  <c r="AV31" i="6"/>
  <c r="AV32" i="6"/>
  <c r="AV33" i="6"/>
  <c r="AW6" i="6"/>
  <c r="BA6" i="6" s="1"/>
  <c r="AV6" i="6"/>
  <c r="AZ6" i="6" s="1"/>
  <c r="AV6" i="8"/>
  <c r="AZ6" i="8" s="1"/>
  <c r="AW6" i="8"/>
  <c r="BA6" i="8" s="1"/>
  <c r="AV7" i="8"/>
  <c r="AZ7" i="8" s="1"/>
  <c r="AW7" i="8"/>
  <c r="BA7" i="8" s="1"/>
  <c r="AV8" i="8"/>
  <c r="AZ8" i="8" s="1"/>
  <c r="AW8" i="8"/>
  <c r="BA8" i="8" s="1"/>
  <c r="AV9" i="8"/>
  <c r="AZ9" i="8" s="1"/>
  <c r="AW9" i="8"/>
  <c r="BA9" i="8" s="1"/>
  <c r="AV10" i="8"/>
  <c r="AZ10" i="8" s="1"/>
  <c r="AW10" i="8"/>
  <c r="BA10" i="8" s="1"/>
  <c r="AV11" i="8"/>
  <c r="AZ11" i="8" s="1"/>
  <c r="AW11" i="8"/>
  <c r="BA11" i="8" s="1"/>
  <c r="AW12" i="8"/>
  <c r="BA12" i="8" s="1"/>
  <c r="AV13" i="8"/>
  <c r="AZ13" i="8" s="1"/>
  <c r="AW13" i="8"/>
  <c r="BA13" i="8" s="1"/>
  <c r="AV14" i="8"/>
  <c r="AZ14" i="8" s="1"/>
  <c r="AW14" i="8"/>
  <c r="BA14" i="8" s="1"/>
  <c r="AV15" i="8"/>
  <c r="AZ15" i="8" s="1"/>
  <c r="AW15" i="8"/>
  <c r="BA15" i="8" s="1"/>
  <c r="AV16" i="8"/>
  <c r="AZ16" i="8" s="1"/>
  <c r="AW16" i="8"/>
  <c r="BA16" i="8" s="1"/>
  <c r="AV17" i="8"/>
  <c r="AZ17" i="8" s="1"/>
  <c r="AW17" i="8"/>
  <c r="BA17" i="8" s="1"/>
  <c r="AV18" i="8"/>
  <c r="AZ18" i="8" s="1"/>
  <c r="AW18" i="8"/>
  <c r="BA18" i="8" s="1"/>
  <c r="AV19" i="8"/>
  <c r="AZ19" i="8" s="1"/>
  <c r="AW19" i="8"/>
  <c r="BA19" i="8" s="1"/>
  <c r="AW20" i="8"/>
  <c r="BA20" i="8" s="1"/>
  <c r="AV21" i="8"/>
  <c r="AZ21" i="8" s="1"/>
  <c r="AW21" i="8"/>
  <c r="BA21" i="8" s="1"/>
  <c r="AV22" i="8"/>
  <c r="AZ22" i="8" s="1"/>
  <c r="AW22" i="8"/>
  <c r="BA22" i="8" s="1"/>
  <c r="AV23" i="8"/>
  <c r="AZ23" i="8" s="1"/>
  <c r="AW23" i="8"/>
  <c r="BA23" i="8" s="1"/>
  <c r="AW24" i="8"/>
  <c r="BA24" i="8" s="1"/>
  <c r="AW25" i="8"/>
  <c r="BA25" i="8" s="1"/>
  <c r="AW26" i="8"/>
  <c r="BA26" i="8" s="1"/>
  <c r="AV27" i="8"/>
  <c r="AZ27" i="8" s="1"/>
  <c r="AW27" i="8"/>
  <c r="BA27" i="8" s="1"/>
  <c r="AV28" i="8"/>
  <c r="AZ28" i="8" s="1"/>
  <c r="AW28" i="8"/>
  <c r="BA28" i="8" s="1"/>
  <c r="AW29" i="8"/>
  <c r="BA29" i="8" s="1"/>
  <c r="AV30" i="8"/>
  <c r="AZ30" i="8" s="1"/>
  <c r="AW30" i="8"/>
  <c r="BA30" i="8" s="1"/>
  <c r="AW31" i="8"/>
  <c r="BA31" i="8" s="1"/>
  <c r="AV32" i="8"/>
  <c r="AZ32" i="8" s="1"/>
  <c r="AW32" i="8"/>
  <c r="BA32" i="8" s="1"/>
  <c r="AV33" i="8"/>
  <c r="AZ33" i="8" s="1"/>
  <c r="AW33" i="8"/>
  <c r="BA33" i="8" s="1"/>
  <c r="AW34" i="8"/>
  <c r="BA34" i="8" s="1"/>
  <c r="AV35" i="8"/>
  <c r="AZ35" i="8" s="1"/>
  <c r="AW35" i="8"/>
  <c r="BA35" i="8" s="1"/>
  <c r="AW36" i="8"/>
  <c r="BA36" i="8" s="1"/>
  <c r="AV37" i="8"/>
  <c r="AZ37" i="8" s="1"/>
  <c r="AW37" i="8"/>
  <c r="BA37" i="8" s="1"/>
  <c r="AW5" i="8"/>
  <c r="BA5" i="8" s="1"/>
  <c r="AV5" i="8"/>
  <c r="AZ5" i="8" s="1"/>
  <c r="AV10" i="6"/>
  <c r="AZ10" i="6" s="1"/>
  <c r="AV31" i="8"/>
  <c r="AZ31" i="8" s="1"/>
  <c r="AV25" i="8"/>
  <c r="AZ25" i="8" s="1"/>
  <c r="AV5" i="27"/>
  <c r="AZ5" i="27" s="1"/>
  <c r="AV27" i="27"/>
  <c r="AZ27" i="27" s="1"/>
  <c r="AW27" i="27"/>
  <c r="BA27" i="27" s="1"/>
  <c r="AS14" i="22"/>
  <c r="AQ14" i="22"/>
  <c r="AR27" i="11"/>
  <c r="AQ50" i="27"/>
  <c r="AQ51" i="27" s="1"/>
  <c r="AO50" i="27"/>
  <c r="AO51" i="27" s="1"/>
  <c r="AK14" i="22"/>
  <c r="AC14" i="22"/>
  <c r="AV60" i="27"/>
  <c r="AZ60" i="27" s="1"/>
  <c r="AV14" i="6"/>
  <c r="AZ14" i="6" s="1"/>
  <c r="Z34" i="6"/>
  <c r="AU60" i="19"/>
  <c r="AV20" i="8"/>
  <c r="AZ20" i="8" s="1"/>
  <c r="AV12" i="8"/>
  <c r="AZ12" i="8" s="1"/>
  <c r="AV31" i="27"/>
  <c r="AZ31" i="27" s="1"/>
  <c r="AV26" i="27"/>
  <c r="AZ26" i="27" s="1"/>
  <c r="AW26" i="27"/>
  <c r="BA26" i="27" s="1"/>
  <c r="T34" i="6"/>
  <c r="T36" i="6" s="1"/>
  <c r="T38" i="6" s="1"/>
  <c r="T38" i="8"/>
  <c r="U38" i="8"/>
  <c r="AW23" i="27"/>
  <c r="BA23" i="27" s="1"/>
  <c r="AI10" i="27"/>
  <c r="AV26" i="8"/>
  <c r="AZ26" i="8" s="1"/>
  <c r="AI50" i="27"/>
  <c r="AG50" i="27"/>
  <c r="AG47" i="27"/>
  <c r="Q14" i="22"/>
  <c r="AV29" i="8"/>
  <c r="AZ29" i="8" s="1"/>
  <c r="K14" i="22"/>
  <c r="AV34" i="8"/>
  <c r="AZ34" i="8" s="1"/>
  <c r="AV24" i="8"/>
  <c r="AZ24" i="8" s="1"/>
  <c r="B38" i="8"/>
  <c r="AE38" i="8"/>
  <c r="AV5" i="3"/>
  <c r="AZ5" i="3" s="1"/>
  <c r="AW5" i="3"/>
  <c r="BA5" i="3" s="1"/>
  <c r="AV6" i="3"/>
  <c r="AZ6" i="3" s="1"/>
  <c r="AW6" i="3"/>
  <c r="BA6" i="3" s="1"/>
  <c r="AV7" i="3"/>
  <c r="AZ7" i="3" s="1"/>
  <c r="AW7" i="3"/>
  <c r="BA7" i="3" s="1"/>
  <c r="AV8" i="3"/>
  <c r="AZ8" i="3" s="1"/>
  <c r="AW8" i="3"/>
  <c r="BA8" i="3" s="1"/>
  <c r="AV9" i="3"/>
  <c r="AZ9" i="3" s="1"/>
  <c r="AW9" i="3"/>
  <c r="BA9" i="3" s="1"/>
  <c r="AV10" i="3"/>
  <c r="AZ10" i="3" s="1"/>
  <c r="AW10" i="3"/>
  <c r="BA10" i="3" s="1"/>
  <c r="AV11" i="3"/>
  <c r="AZ11" i="3" s="1"/>
  <c r="AV14" i="3"/>
  <c r="AZ14" i="3" s="1"/>
  <c r="AW14" i="3"/>
  <c r="BA14" i="3" s="1"/>
  <c r="AV15" i="3"/>
  <c r="AZ15" i="3" s="1"/>
  <c r="AW15" i="3"/>
  <c r="BA15" i="3" s="1"/>
  <c r="AV16" i="3"/>
  <c r="AZ16" i="3" s="1"/>
  <c r="AW16" i="3"/>
  <c r="BA16" i="3" s="1"/>
  <c r="AV17" i="3"/>
  <c r="AZ17" i="3" s="1"/>
  <c r="AW17" i="3"/>
  <c r="BA17" i="3" s="1"/>
  <c r="B21" i="3"/>
  <c r="C19" i="3"/>
  <c r="C21" i="3" s="1"/>
  <c r="D19" i="3"/>
  <c r="E19" i="3"/>
  <c r="E21" i="3" s="1"/>
  <c r="F19" i="3"/>
  <c r="F21" i="3" s="1"/>
  <c r="G19" i="3"/>
  <c r="G21" i="3" s="1"/>
  <c r="H19" i="3"/>
  <c r="H21" i="3" s="1"/>
  <c r="I19" i="3"/>
  <c r="I21" i="3" s="1"/>
  <c r="J19" i="3"/>
  <c r="J21" i="3" s="1"/>
  <c r="K19" i="3"/>
  <c r="K21" i="3" s="1"/>
  <c r="L19" i="3"/>
  <c r="L21" i="3" s="1"/>
  <c r="M19" i="3"/>
  <c r="M21" i="3" s="1"/>
  <c r="N19" i="3"/>
  <c r="N21" i="3" s="1"/>
  <c r="O19" i="3"/>
  <c r="O21" i="3" s="1"/>
  <c r="P19" i="3"/>
  <c r="P21" i="3" s="1"/>
  <c r="Q19" i="3"/>
  <c r="Q21" i="3" s="1"/>
  <c r="R19" i="3"/>
  <c r="R21" i="3" s="1"/>
  <c r="S19" i="3"/>
  <c r="S21" i="3" s="1"/>
  <c r="T19" i="3"/>
  <c r="T21" i="3" s="1"/>
  <c r="U19" i="3"/>
  <c r="U21" i="3" s="1"/>
  <c r="V19" i="3"/>
  <c r="V21" i="3" s="1"/>
  <c r="W19" i="3"/>
  <c r="W21" i="3" s="1"/>
  <c r="X21" i="3"/>
  <c r="Y19" i="3"/>
  <c r="Y21" i="3" s="1"/>
  <c r="Z19" i="3"/>
  <c r="Z21" i="3" s="1"/>
  <c r="AA19" i="3"/>
  <c r="AA21" i="3" s="1"/>
  <c r="AB19" i="3"/>
  <c r="AB21" i="3" s="1"/>
  <c r="AC19" i="3"/>
  <c r="AC21" i="3" s="1"/>
  <c r="AD19" i="3"/>
  <c r="AD21" i="3" s="1"/>
  <c r="AE19" i="3"/>
  <c r="AE21" i="3" s="1"/>
  <c r="AF19" i="3"/>
  <c r="AF21" i="3" s="1"/>
  <c r="AG19" i="3"/>
  <c r="AG21" i="3" s="1"/>
  <c r="AH19" i="3"/>
  <c r="AH21" i="3" s="1"/>
  <c r="AI19" i="3"/>
  <c r="AI21" i="3" s="1"/>
  <c r="AJ19" i="3"/>
  <c r="AJ21" i="3" s="1"/>
  <c r="AK19" i="3"/>
  <c r="AL19" i="3"/>
  <c r="AL21" i="3" s="1"/>
  <c r="AM19" i="3"/>
  <c r="AM21" i="3" s="1"/>
  <c r="AN19" i="3"/>
  <c r="AN21" i="3" s="1"/>
  <c r="AO19" i="3"/>
  <c r="AO21" i="3" s="1"/>
  <c r="AP19" i="3"/>
  <c r="AP21" i="3" s="1"/>
  <c r="AQ19" i="3"/>
  <c r="AQ21" i="3" s="1"/>
  <c r="AR19" i="3"/>
  <c r="AR21" i="3" s="1"/>
  <c r="AS19" i="3"/>
  <c r="AS21" i="3" s="1"/>
  <c r="AT19" i="3"/>
  <c r="AT21" i="3" s="1"/>
  <c r="AU19" i="3"/>
  <c r="AX19" i="3"/>
  <c r="AX21" i="3" s="1"/>
  <c r="AY19" i="3"/>
  <c r="AY21" i="3" s="1"/>
  <c r="AV20" i="3"/>
  <c r="AZ20" i="3" s="1"/>
  <c r="AW20" i="3"/>
  <c r="BA20" i="3" s="1"/>
  <c r="AK21" i="3"/>
  <c r="AV5" i="4"/>
  <c r="AZ5" i="4" s="1"/>
  <c r="AW5" i="4"/>
  <c r="BA5" i="4" s="1"/>
  <c r="AV6" i="4"/>
  <c r="AZ6" i="4" s="1"/>
  <c r="AW6" i="4"/>
  <c r="BA6" i="4" s="1"/>
  <c r="AV7" i="4"/>
  <c r="AZ7" i="4" s="1"/>
  <c r="AW7" i="4"/>
  <c r="BA7" i="4" s="1"/>
  <c r="AV8" i="4"/>
  <c r="AZ8" i="4" s="1"/>
  <c r="AW8" i="4"/>
  <c r="BA8" i="4" s="1"/>
  <c r="AV9" i="4"/>
  <c r="AZ9" i="4" s="1"/>
  <c r="AW9" i="4"/>
  <c r="BA9" i="4" s="1"/>
  <c r="AV10" i="4"/>
  <c r="AZ10" i="4" s="1"/>
  <c r="AW10" i="4"/>
  <c r="BA10" i="4" s="1"/>
  <c r="AV11" i="4"/>
  <c r="AZ11" i="4" s="1"/>
  <c r="AW11" i="4"/>
  <c r="BA11" i="4" s="1"/>
  <c r="AV14" i="4"/>
  <c r="AZ14" i="4" s="1"/>
  <c r="AW14" i="4"/>
  <c r="BA14" i="4" s="1"/>
  <c r="AV15" i="4"/>
  <c r="AZ15" i="4" s="1"/>
  <c r="AW15" i="4"/>
  <c r="BA15" i="4" s="1"/>
  <c r="AV16" i="4"/>
  <c r="AZ16" i="4" s="1"/>
  <c r="AW16" i="4"/>
  <c r="BA16" i="4" s="1"/>
  <c r="AV17" i="4"/>
  <c r="AZ17" i="4" s="1"/>
  <c r="AW17" i="4"/>
  <c r="BA17" i="4" s="1"/>
  <c r="B18" i="4"/>
  <c r="B20" i="4" s="1"/>
  <c r="C18" i="4"/>
  <c r="C20" i="4" s="1"/>
  <c r="D18" i="4"/>
  <c r="D20" i="4" s="1"/>
  <c r="E18" i="4"/>
  <c r="E20" i="4" s="1"/>
  <c r="F18" i="4"/>
  <c r="F20" i="4" s="1"/>
  <c r="G18" i="4"/>
  <c r="G20" i="4" s="1"/>
  <c r="H18" i="4"/>
  <c r="H20" i="4" s="1"/>
  <c r="I18" i="4"/>
  <c r="I20" i="4" s="1"/>
  <c r="J18" i="4"/>
  <c r="J20" i="4" s="1"/>
  <c r="K18" i="4"/>
  <c r="K20" i="4" s="1"/>
  <c r="L18" i="4"/>
  <c r="L20" i="4" s="1"/>
  <c r="M18" i="4"/>
  <c r="M20" i="4" s="1"/>
  <c r="N18" i="4"/>
  <c r="N20" i="4" s="1"/>
  <c r="O18" i="4"/>
  <c r="O20" i="4" s="1"/>
  <c r="P18" i="4"/>
  <c r="P20" i="4" s="1"/>
  <c r="Q18" i="4"/>
  <c r="Q20" i="4" s="1"/>
  <c r="R18" i="4"/>
  <c r="R20" i="4"/>
  <c r="S18" i="4"/>
  <c r="S20" i="4" s="1"/>
  <c r="T18" i="4"/>
  <c r="T20" i="4" s="1"/>
  <c r="U18" i="4"/>
  <c r="U20" i="4" s="1"/>
  <c r="V18" i="4"/>
  <c r="V20" i="4" s="1"/>
  <c r="W18" i="4"/>
  <c r="W20" i="4" s="1"/>
  <c r="X18" i="4"/>
  <c r="X20" i="4" s="1"/>
  <c r="Y18" i="4"/>
  <c r="Y20" i="4" s="1"/>
  <c r="Z18" i="4"/>
  <c r="Z20" i="4" s="1"/>
  <c r="AA18" i="4"/>
  <c r="AA20" i="4" s="1"/>
  <c r="AB18" i="4"/>
  <c r="AB20" i="4" s="1"/>
  <c r="AC18" i="4"/>
  <c r="AC20" i="4" s="1"/>
  <c r="AD18" i="4"/>
  <c r="AD20" i="4" s="1"/>
  <c r="AE18" i="4"/>
  <c r="AE20" i="4" s="1"/>
  <c r="AF18" i="4"/>
  <c r="AF20" i="4" s="1"/>
  <c r="AG18" i="4"/>
  <c r="AG20" i="4" s="1"/>
  <c r="AH18" i="4"/>
  <c r="AH20" i="4" s="1"/>
  <c r="AI18" i="4"/>
  <c r="AJ18" i="4"/>
  <c r="AJ20" i="4" s="1"/>
  <c r="AK18" i="4"/>
  <c r="AK20" i="4" s="1"/>
  <c r="AL18" i="4"/>
  <c r="AL20" i="4" s="1"/>
  <c r="AM18" i="4"/>
  <c r="AM20" i="4"/>
  <c r="AN18" i="4"/>
  <c r="AN20" i="4" s="1"/>
  <c r="AO18" i="4"/>
  <c r="AO20" i="4" s="1"/>
  <c r="AP18" i="4"/>
  <c r="AP20" i="4" s="1"/>
  <c r="AQ18" i="4"/>
  <c r="AR18" i="4"/>
  <c r="AR20" i="4" s="1"/>
  <c r="AS18" i="4"/>
  <c r="AS20" i="4" s="1"/>
  <c r="AT18" i="4"/>
  <c r="AT20" i="4" s="1"/>
  <c r="AU18" i="4"/>
  <c r="AU20" i="4" s="1"/>
  <c r="AX18" i="4"/>
  <c r="AX20" i="4" s="1"/>
  <c r="AY20" i="4"/>
  <c r="AV19" i="4"/>
  <c r="AZ19" i="4" s="1"/>
  <c r="AW19" i="4"/>
  <c r="BA19" i="4" s="1"/>
  <c r="AI20" i="4"/>
  <c r="AV5" i="2"/>
  <c r="AZ5" i="2" s="1"/>
  <c r="AW5" i="2"/>
  <c r="BA5" i="2" s="1"/>
  <c r="AV6" i="2"/>
  <c r="AZ6" i="2" s="1"/>
  <c r="AW6" i="2"/>
  <c r="BA6" i="2" s="1"/>
  <c r="AV7" i="2"/>
  <c r="AZ7" i="2" s="1"/>
  <c r="AW7" i="2"/>
  <c r="BA7" i="2" s="1"/>
  <c r="AV8" i="2"/>
  <c r="AZ8" i="2" s="1"/>
  <c r="AW8" i="2"/>
  <c r="BA8" i="2" s="1"/>
  <c r="AV9" i="2"/>
  <c r="AZ9" i="2" s="1"/>
  <c r="AW9" i="2"/>
  <c r="BA9" i="2" s="1"/>
  <c r="AV10" i="2"/>
  <c r="AZ10" i="2" s="1"/>
  <c r="AW10" i="2"/>
  <c r="BA10" i="2" s="1"/>
  <c r="X12" i="2"/>
  <c r="X14" i="2" s="1"/>
  <c r="AW11" i="2"/>
  <c r="BA11" i="2" s="1"/>
  <c r="B12" i="2"/>
  <c r="B14" i="2" s="1"/>
  <c r="C12" i="2"/>
  <c r="C14" i="2" s="1"/>
  <c r="D12" i="2"/>
  <c r="D14" i="2" s="1"/>
  <c r="E12" i="2"/>
  <c r="F12" i="2"/>
  <c r="F14" i="2" s="1"/>
  <c r="G12" i="2"/>
  <c r="G14" i="2" s="1"/>
  <c r="H12" i="2"/>
  <c r="H14" i="2" s="1"/>
  <c r="I12" i="2"/>
  <c r="I14" i="2" s="1"/>
  <c r="J12" i="2"/>
  <c r="J14" i="2" s="1"/>
  <c r="K12" i="2"/>
  <c r="K14" i="2" s="1"/>
  <c r="L12" i="2"/>
  <c r="L14" i="2" s="1"/>
  <c r="M12" i="2"/>
  <c r="M14" i="2" s="1"/>
  <c r="N12" i="2"/>
  <c r="N14" i="2" s="1"/>
  <c r="O12" i="2"/>
  <c r="O14" i="2" s="1"/>
  <c r="P12" i="2"/>
  <c r="P14" i="2" s="1"/>
  <c r="Q12" i="2"/>
  <c r="Q14" i="2" s="1"/>
  <c r="R12" i="2"/>
  <c r="R14" i="2" s="1"/>
  <c r="S12" i="2"/>
  <c r="S14" i="2" s="1"/>
  <c r="T12" i="2"/>
  <c r="T14" i="2" s="1"/>
  <c r="U12" i="2"/>
  <c r="U14" i="2" s="1"/>
  <c r="V12" i="2"/>
  <c r="V14" i="2" s="1"/>
  <c r="W12" i="2"/>
  <c r="W14" i="2" s="1"/>
  <c r="Y12" i="2"/>
  <c r="Y14" i="2" s="1"/>
  <c r="Z12" i="2"/>
  <c r="Z14" i="2" s="1"/>
  <c r="AA12" i="2"/>
  <c r="AA14" i="2" s="1"/>
  <c r="AB12" i="2"/>
  <c r="AB14" i="2" s="1"/>
  <c r="AC12" i="2"/>
  <c r="AC14" i="2" s="1"/>
  <c r="AD12" i="2"/>
  <c r="AD14" i="2" s="1"/>
  <c r="AE12" i="2"/>
  <c r="AE14" i="2" s="1"/>
  <c r="AF12" i="2"/>
  <c r="AF14" i="2" s="1"/>
  <c r="AG12" i="2"/>
  <c r="AG14" i="2" s="1"/>
  <c r="AH12" i="2"/>
  <c r="AH14" i="2" s="1"/>
  <c r="AI12" i="2"/>
  <c r="AI14" i="2" s="1"/>
  <c r="AJ12" i="2"/>
  <c r="AJ14" i="2" s="1"/>
  <c r="AK12" i="2"/>
  <c r="AK14" i="2" s="1"/>
  <c r="AL12" i="2"/>
  <c r="AL14" i="2" s="1"/>
  <c r="AM12" i="2"/>
  <c r="AM14" i="2" s="1"/>
  <c r="AN12" i="2"/>
  <c r="AN14" i="2" s="1"/>
  <c r="AO12" i="2"/>
  <c r="AO14" i="2" s="1"/>
  <c r="AP12" i="2"/>
  <c r="AP14" i="2" s="1"/>
  <c r="AQ12" i="2"/>
  <c r="AQ14" i="2" s="1"/>
  <c r="AR12" i="2"/>
  <c r="AR14" i="2" s="1"/>
  <c r="AS12" i="2"/>
  <c r="AS14" i="2" s="1"/>
  <c r="AT12" i="2"/>
  <c r="AT14" i="2" s="1"/>
  <c r="AU12" i="2"/>
  <c r="AU14" i="2" s="1"/>
  <c r="AX12" i="2"/>
  <c r="AX14" i="2" s="1"/>
  <c r="AY12" i="2"/>
  <c r="AY14" i="2" s="1"/>
  <c r="AV13" i="2"/>
  <c r="AZ13" i="2" s="1"/>
  <c r="AW13" i="2"/>
  <c r="BA13" i="2" s="1"/>
  <c r="AV5" i="1"/>
  <c r="AZ5" i="1" s="1"/>
  <c r="AW5" i="1"/>
  <c r="BA5" i="1" s="1"/>
  <c r="AV6" i="1"/>
  <c r="AZ6" i="1" s="1"/>
  <c r="BA6" i="1"/>
  <c r="AV7" i="1"/>
  <c r="AZ7" i="1" s="1"/>
  <c r="BA7" i="1"/>
  <c r="AV8" i="1"/>
  <c r="AZ8" i="1" s="1"/>
  <c r="BA8" i="1"/>
  <c r="AV9" i="1"/>
  <c r="AZ9" i="1" s="1"/>
  <c r="BA9" i="1"/>
  <c r="AV10" i="1"/>
  <c r="AZ10" i="1" s="1"/>
  <c r="BA10" i="1"/>
  <c r="AV11" i="1"/>
  <c r="AZ11" i="1" s="1"/>
  <c r="BA11" i="1"/>
  <c r="B12" i="1"/>
  <c r="B14" i="1" s="1"/>
  <c r="C12" i="1"/>
  <c r="C14" i="1" s="1"/>
  <c r="D12" i="1"/>
  <c r="D14" i="1" s="1"/>
  <c r="E12" i="1"/>
  <c r="E14" i="1" s="1"/>
  <c r="F12" i="1"/>
  <c r="F14" i="1" s="1"/>
  <c r="G12" i="1"/>
  <c r="G14" i="1" s="1"/>
  <c r="H12" i="1"/>
  <c r="H14" i="1" s="1"/>
  <c r="I12" i="1"/>
  <c r="I14" i="1" s="1"/>
  <c r="J12" i="1"/>
  <c r="J14" i="1" s="1"/>
  <c r="K12" i="1"/>
  <c r="K14" i="1" s="1"/>
  <c r="L14" i="1"/>
  <c r="M12" i="1"/>
  <c r="M14" i="1" s="1"/>
  <c r="N12" i="1"/>
  <c r="N14" i="1" s="1"/>
  <c r="O12" i="1"/>
  <c r="O14" i="1" s="1"/>
  <c r="P12" i="1"/>
  <c r="P14" i="1" s="1"/>
  <c r="Q12" i="1"/>
  <c r="Q14" i="1" s="1"/>
  <c r="R12" i="1"/>
  <c r="R14" i="1" s="1"/>
  <c r="S12" i="1"/>
  <c r="S14" i="1" s="1"/>
  <c r="T12" i="1"/>
  <c r="T14" i="1" s="1"/>
  <c r="U12" i="1"/>
  <c r="U14" i="1" s="1"/>
  <c r="V12" i="1"/>
  <c r="V14" i="1" s="1"/>
  <c r="W12" i="1"/>
  <c r="W14" i="1" s="1"/>
  <c r="X12" i="1"/>
  <c r="X14" i="1" s="1"/>
  <c r="Y12" i="1"/>
  <c r="Y14" i="1" s="1"/>
  <c r="Z12" i="1"/>
  <c r="Z14" i="1" s="1"/>
  <c r="AA12" i="1"/>
  <c r="AA14" i="1" s="1"/>
  <c r="AB12" i="1"/>
  <c r="AB14" i="1" s="1"/>
  <c r="AC12" i="1"/>
  <c r="AC14" i="1" s="1"/>
  <c r="AD12" i="1"/>
  <c r="AD14" i="1" s="1"/>
  <c r="AE12" i="1"/>
  <c r="AE14" i="1" s="1"/>
  <c r="AF12" i="1"/>
  <c r="AF14" i="1" s="1"/>
  <c r="AG12" i="1"/>
  <c r="AG14" i="1" s="1"/>
  <c r="AH12" i="1"/>
  <c r="AH14" i="1" s="1"/>
  <c r="AI12" i="1"/>
  <c r="AI14" i="1" s="1"/>
  <c r="AJ12" i="1"/>
  <c r="AJ14" i="1" s="1"/>
  <c r="AK12" i="1"/>
  <c r="AK14" i="1" s="1"/>
  <c r="AL12" i="1"/>
  <c r="AL14" i="1" s="1"/>
  <c r="AM12" i="1"/>
  <c r="AM14" i="1" s="1"/>
  <c r="AN12" i="1"/>
  <c r="AN14" i="1" s="1"/>
  <c r="AO12" i="1"/>
  <c r="AO14" i="1" s="1"/>
  <c r="AP12" i="1"/>
  <c r="AP14" i="1" s="1"/>
  <c r="AQ12" i="1"/>
  <c r="AQ14" i="1" s="1"/>
  <c r="AR12" i="1"/>
  <c r="AR14" i="1" s="1"/>
  <c r="AS12" i="1"/>
  <c r="AS14" i="1" s="1"/>
  <c r="AT12" i="1"/>
  <c r="AT14" i="1" s="1"/>
  <c r="AU12" i="1"/>
  <c r="AU14" i="1" s="1"/>
  <c r="AX12" i="1"/>
  <c r="AX14" i="1" s="1"/>
  <c r="AY12" i="1"/>
  <c r="AY14" i="1" s="1"/>
  <c r="AV13" i="1"/>
  <c r="AZ13" i="1" s="1"/>
  <c r="BA13" i="1"/>
  <c r="AV6" i="29"/>
  <c r="AZ6" i="29" s="1"/>
  <c r="AV7" i="29"/>
  <c r="AZ7" i="29" s="1"/>
  <c r="AV8" i="29"/>
  <c r="AZ8" i="29" s="1"/>
  <c r="AZ9" i="29"/>
  <c r="AV10" i="29"/>
  <c r="AZ10" i="29" s="1"/>
  <c r="AV11" i="29"/>
  <c r="AZ11" i="29" s="1"/>
  <c r="AV12" i="29"/>
  <c r="B13" i="29"/>
  <c r="D13" i="29"/>
  <c r="H13" i="29"/>
  <c r="J13" i="29"/>
  <c r="L13" i="29"/>
  <c r="N13" i="29"/>
  <c r="R13" i="29"/>
  <c r="R22" i="29" s="1"/>
  <c r="V13" i="29"/>
  <c r="V22" i="29" s="1"/>
  <c r="V25" i="29" s="1"/>
  <c r="V32" i="29" s="1"/>
  <c r="X13" i="29"/>
  <c r="X19" i="29" s="1"/>
  <c r="Z13" i="29"/>
  <c r="Z19" i="29" s="1"/>
  <c r="Z22" i="29" s="1"/>
  <c r="Z25" i="29" s="1"/>
  <c r="Z32" i="29" s="1"/>
  <c r="Z42" i="29" s="1"/>
  <c r="AB13" i="29"/>
  <c r="AB19" i="29" s="1"/>
  <c r="AB22" i="29" s="1"/>
  <c r="AB25" i="29" s="1"/>
  <c r="AB32" i="29" s="1"/>
  <c r="AB42" i="29" s="1"/>
  <c r="AD13" i="29"/>
  <c r="AD22" i="29" s="1"/>
  <c r="AD25" i="29" s="1"/>
  <c r="AD32" i="29" s="1"/>
  <c r="AD42" i="29" s="1"/>
  <c r="AF25" i="29"/>
  <c r="AF32" i="29" s="1"/>
  <c r="AF42" i="29" s="1"/>
  <c r="AH13" i="29"/>
  <c r="AJ13" i="29"/>
  <c r="AJ19" i="29" s="1"/>
  <c r="AJ22" i="29" s="1"/>
  <c r="AJ25" i="29" s="1"/>
  <c r="AJ32" i="29" s="1"/>
  <c r="AJ42" i="29" s="1"/>
  <c r="AN13" i="29"/>
  <c r="AN22" i="29" s="1"/>
  <c r="AN25" i="29" s="1"/>
  <c r="AN32" i="29" s="1"/>
  <c r="AN42" i="29" s="1"/>
  <c r="AP13" i="29"/>
  <c r="AR13" i="29"/>
  <c r="AR19" i="29" s="1"/>
  <c r="AR22" i="29" s="1"/>
  <c r="AR25" i="29" s="1"/>
  <c r="AR32" i="29" s="1"/>
  <c r="AR42" i="29" s="1"/>
  <c r="AT13" i="29"/>
  <c r="AV14" i="29"/>
  <c r="AZ14" i="29" s="1"/>
  <c r="AV15" i="29"/>
  <c r="AZ15" i="29" s="1"/>
  <c r="AV16" i="29"/>
  <c r="AZ16" i="29" s="1"/>
  <c r="AV17" i="29"/>
  <c r="AZ17" i="29" s="1"/>
  <c r="AV18" i="29"/>
  <c r="AZ18" i="29" s="1"/>
  <c r="H19" i="29"/>
  <c r="H22" i="29" s="1"/>
  <c r="H25" i="29" s="1"/>
  <c r="H32" i="29" s="1"/>
  <c r="H42" i="29" s="1"/>
  <c r="J19" i="29"/>
  <c r="AH19" i="29"/>
  <c r="AT19" i="29"/>
  <c r="AV20" i="29"/>
  <c r="AZ20" i="29" s="1"/>
  <c r="AV21" i="29"/>
  <c r="B22" i="29"/>
  <c r="D22" i="29"/>
  <c r="D25" i="29" s="1"/>
  <c r="D32" i="29" s="1"/>
  <c r="D42" i="29" s="1"/>
  <c r="J22" i="29"/>
  <c r="L22" i="29"/>
  <c r="N22" i="29"/>
  <c r="AH22" i="29"/>
  <c r="AP22" i="29"/>
  <c r="AT22" i="29"/>
  <c r="AV23" i="29"/>
  <c r="AZ23" i="29" s="1"/>
  <c r="AV24" i="29"/>
  <c r="AZ24" i="29" s="1"/>
  <c r="B25" i="29"/>
  <c r="J25" i="29"/>
  <c r="L25" i="29"/>
  <c r="N25" i="29"/>
  <c r="N32" i="29" s="1"/>
  <c r="N42" i="29" s="1"/>
  <c r="AH25" i="29"/>
  <c r="AP25" i="29"/>
  <c r="AT25" i="29"/>
  <c r="AV26" i="29"/>
  <c r="AZ26" i="29" s="1"/>
  <c r="AV27" i="29"/>
  <c r="AV28" i="29"/>
  <c r="AZ28" i="29" s="1"/>
  <c r="AV29" i="29"/>
  <c r="AZ29" i="29" s="1"/>
  <c r="AV30" i="29"/>
  <c r="AZ30" i="29" s="1"/>
  <c r="AV31" i="29"/>
  <c r="J32" i="29"/>
  <c r="J42" i="29" s="1"/>
  <c r="L32" i="29"/>
  <c r="L42" i="29" s="1"/>
  <c r="AH32" i="29"/>
  <c r="AH42" i="29" s="1"/>
  <c r="AP32" i="29"/>
  <c r="AP42" i="29" s="1"/>
  <c r="AT32" i="29"/>
  <c r="AT42" i="29" s="1"/>
  <c r="AV33" i="29"/>
  <c r="AZ33" i="29" s="1"/>
  <c r="AV34" i="29"/>
  <c r="AV35" i="29"/>
  <c r="AV36" i="29"/>
  <c r="AV37" i="29"/>
  <c r="AV39" i="29"/>
  <c r="AV40" i="29"/>
  <c r="AV41" i="29"/>
  <c r="F42" i="29"/>
  <c r="AL42" i="29"/>
  <c r="B8" i="23"/>
  <c r="D8" i="23"/>
  <c r="F8" i="23"/>
  <c r="H8" i="23"/>
  <c r="J8" i="23"/>
  <c r="L8" i="23"/>
  <c r="N8" i="23"/>
  <c r="P8" i="23"/>
  <c r="R8" i="23"/>
  <c r="T8" i="23"/>
  <c r="V8" i="23"/>
  <c r="X8" i="23"/>
  <c r="Z8" i="23"/>
  <c r="AB8" i="23"/>
  <c r="AD8" i="23"/>
  <c r="AF8" i="23"/>
  <c r="AH8" i="23"/>
  <c r="AJ8" i="23"/>
  <c r="AL8" i="23"/>
  <c r="AN8" i="23"/>
  <c r="AP8" i="23"/>
  <c r="AR8" i="23"/>
  <c r="AT8" i="23"/>
  <c r="AV8" i="23"/>
  <c r="AX8" i="23"/>
  <c r="AZ8" i="23"/>
  <c r="AV4" i="22"/>
  <c r="AZ4" i="22"/>
  <c r="AW4" i="22"/>
  <c r="BA4" i="22" s="1"/>
  <c r="AV5" i="22"/>
  <c r="AZ5" i="22" s="1"/>
  <c r="AV6" i="22"/>
  <c r="AZ6" i="22" s="1"/>
  <c r="AV7" i="22"/>
  <c r="AZ7" i="22" s="1"/>
  <c r="AW7" i="22"/>
  <c r="BA7" i="22" s="1"/>
  <c r="AV8" i="22"/>
  <c r="AZ8" i="22" s="1"/>
  <c r="AW8" i="22"/>
  <c r="BA8" i="22" s="1"/>
  <c r="AV9" i="22"/>
  <c r="AZ9" i="22" s="1"/>
  <c r="AW9" i="22"/>
  <c r="BA9" i="22" s="1"/>
  <c r="AV10" i="22"/>
  <c r="AZ10" i="22" s="1"/>
  <c r="AW10" i="22"/>
  <c r="BA10" i="22" s="1"/>
  <c r="AV11" i="22"/>
  <c r="AZ11" i="22" s="1"/>
  <c r="AW11" i="22"/>
  <c r="BA11" i="22" s="1"/>
  <c r="AV12" i="22"/>
  <c r="AZ12" i="22" s="1"/>
  <c r="AW12" i="22"/>
  <c r="BA12" i="22" s="1"/>
  <c r="AV13" i="22"/>
  <c r="AZ13" i="22" s="1"/>
  <c r="AW13" i="22"/>
  <c r="BA13" i="22" s="1"/>
  <c r="B14" i="22"/>
  <c r="C14" i="22"/>
  <c r="D14" i="22"/>
  <c r="E14" i="22"/>
  <c r="F14" i="22"/>
  <c r="G14" i="22"/>
  <c r="H14" i="22"/>
  <c r="I14" i="22"/>
  <c r="J14" i="22"/>
  <c r="L14" i="22"/>
  <c r="M14" i="22"/>
  <c r="N14" i="22"/>
  <c r="O14" i="22"/>
  <c r="P14" i="22"/>
  <c r="R14" i="22"/>
  <c r="S14" i="22"/>
  <c r="T14" i="22"/>
  <c r="U14" i="22"/>
  <c r="V14" i="22"/>
  <c r="W14" i="22"/>
  <c r="X14" i="22"/>
  <c r="Y14" i="22"/>
  <c r="Z14" i="22"/>
  <c r="AA14" i="22"/>
  <c r="AB14" i="22"/>
  <c r="AD14" i="22"/>
  <c r="AF14" i="22"/>
  <c r="AH14" i="22"/>
  <c r="AI14" i="22"/>
  <c r="AJ14" i="22"/>
  <c r="AL14" i="22"/>
  <c r="AN14" i="22"/>
  <c r="AO14" i="22"/>
  <c r="AP14" i="22"/>
  <c r="AR14" i="22"/>
  <c r="AT14" i="22"/>
  <c r="AU14" i="22"/>
  <c r="AX14" i="22"/>
  <c r="AY14" i="22"/>
  <c r="BA13" i="6"/>
  <c r="AY34" i="6"/>
  <c r="AY36" i="6" s="1"/>
  <c r="AY38" i="6" s="1"/>
  <c r="BA16" i="6"/>
  <c r="U34" i="6"/>
  <c r="U36" i="6" s="1"/>
  <c r="U38" i="6" s="1"/>
  <c r="AS34" i="6"/>
  <c r="AS36" i="6" s="1"/>
  <c r="AS38" i="6" s="1"/>
  <c r="B34" i="6"/>
  <c r="B36" i="6" s="1"/>
  <c r="C34" i="6"/>
  <c r="C36" i="6" s="1"/>
  <c r="C38" i="6" s="1"/>
  <c r="D34" i="6"/>
  <c r="D36" i="6" s="1"/>
  <c r="D38" i="6" s="1"/>
  <c r="E34" i="6"/>
  <c r="E36" i="6" s="1"/>
  <c r="E38" i="6" s="1"/>
  <c r="F34" i="6"/>
  <c r="F36" i="6" s="1"/>
  <c r="F38" i="6" s="1"/>
  <c r="G34" i="6"/>
  <c r="G36" i="6" s="1"/>
  <c r="G38" i="6" s="1"/>
  <c r="H34" i="6"/>
  <c r="H36" i="6" s="1"/>
  <c r="H38" i="6" s="1"/>
  <c r="J34" i="6"/>
  <c r="J36" i="6" s="1"/>
  <c r="J38" i="6" s="1"/>
  <c r="K34" i="6"/>
  <c r="K36" i="6" s="1"/>
  <c r="K38" i="6" s="1"/>
  <c r="L34" i="6"/>
  <c r="L36" i="6" s="1"/>
  <c r="L38" i="6" s="1"/>
  <c r="M34" i="6"/>
  <c r="M36" i="6" s="1"/>
  <c r="M38" i="6" s="1"/>
  <c r="N34" i="6"/>
  <c r="N36" i="6" s="1"/>
  <c r="N38" i="6" s="1"/>
  <c r="O34" i="6"/>
  <c r="O36" i="6" s="1"/>
  <c r="O38" i="6" s="1"/>
  <c r="P34" i="6"/>
  <c r="P36" i="6" s="1"/>
  <c r="P38" i="6" s="1"/>
  <c r="Q34" i="6"/>
  <c r="Q36" i="6" s="1"/>
  <c r="Q38" i="6" s="1"/>
  <c r="R34" i="6"/>
  <c r="R36" i="6" s="1"/>
  <c r="R38" i="6" s="1"/>
  <c r="S34" i="6"/>
  <c r="S36" i="6" s="1"/>
  <c r="S38" i="6" s="1"/>
  <c r="V34" i="6"/>
  <c r="V36" i="6" s="1"/>
  <c r="V38" i="6" s="1"/>
  <c r="W34" i="6"/>
  <c r="W36" i="6" s="1"/>
  <c r="W38" i="6" s="1"/>
  <c r="X34" i="6"/>
  <c r="Y34" i="6"/>
  <c r="Y36" i="6" s="1"/>
  <c r="Z36" i="6"/>
  <c r="Z38" i="6" s="1"/>
  <c r="AA34" i="6"/>
  <c r="AA36" i="6" s="1"/>
  <c r="AA38" i="6" s="1"/>
  <c r="AB34" i="6"/>
  <c r="AB36" i="6" s="1"/>
  <c r="AB38" i="6" s="1"/>
  <c r="AC34" i="6"/>
  <c r="AC36" i="6" s="1"/>
  <c r="AC38" i="6" s="1"/>
  <c r="AD34" i="6"/>
  <c r="AD36" i="6" s="1"/>
  <c r="AD38" i="6" s="1"/>
  <c r="AE34" i="6"/>
  <c r="AE36" i="6" s="1"/>
  <c r="AE38" i="6" s="1"/>
  <c r="AF34" i="6"/>
  <c r="AF36" i="6" s="1"/>
  <c r="AF38" i="6" s="1"/>
  <c r="AG34" i="6"/>
  <c r="AG36" i="6" s="1"/>
  <c r="AG38" i="6" s="1"/>
  <c r="AH34" i="6"/>
  <c r="AH36" i="6" s="1"/>
  <c r="AH38" i="6" s="1"/>
  <c r="AI34" i="6"/>
  <c r="AI36" i="6" s="1"/>
  <c r="AI38" i="6" s="1"/>
  <c r="AJ34" i="6"/>
  <c r="AJ36" i="6" s="1"/>
  <c r="AJ38" i="6" s="1"/>
  <c r="AK34" i="6"/>
  <c r="AK36" i="6" s="1"/>
  <c r="AK38" i="6" s="1"/>
  <c r="AL34" i="6"/>
  <c r="AL36" i="6"/>
  <c r="AL38" i="6" s="1"/>
  <c r="AM34" i="6"/>
  <c r="AM36" i="6" s="1"/>
  <c r="AM38" i="6" s="1"/>
  <c r="AN34" i="6"/>
  <c r="AN36" i="6" s="1"/>
  <c r="AN38" i="6" s="1"/>
  <c r="AO34" i="6"/>
  <c r="AO36" i="6" s="1"/>
  <c r="AO38" i="6" s="1"/>
  <c r="AP36" i="6"/>
  <c r="AP38" i="6" s="1"/>
  <c r="AQ34" i="6"/>
  <c r="AQ36" i="6" s="1"/>
  <c r="AQ38" i="6" s="1"/>
  <c r="AR34" i="6"/>
  <c r="AR36" i="6" s="1"/>
  <c r="AR38" i="6" s="1"/>
  <c r="AX34" i="6"/>
  <c r="AX36" i="6" s="1"/>
  <c r="AX38" i="6" s="1"/>
  <c r="X38" i="6"/>
  <c r="Y38" i="6"/>
  <c r="BF38" i="6"/>
  <c r="AY38" i="8"/>
  <c r="C38" i="8"/>
  <c r="D38" i="8"/>
  <c r="E38" i="8"/>
  <c r="F38" i="8"/>
  <c r="G38" i="8"/>
  <c r="H38" i="8"/>
  <c r="I38" i="8"/>
  <c r="K38" i="8"/>
  <c r="L38" i="8"/>
  <c r="M38" i="8"/>
  <c r="N38" i="8"/>
  <c r="O38" i="8"/>
  <c r="P38" i="8"/>
  <c r="Q38" i="8"/>
  <c r="V38" i="8"/>
  <c r="W38" i="8"/>
  <c r="Y38" i="8"/>
  <c r="Z38" i="8"/>
  <c r="AA38" i="8"/>
  <c r="AB38" i="8"/>
  <c r="AC38" i="8"/>
  <c r="AD38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U38" i="8"/>
  <c r="AX38" i="8"/>
  <c r="AV39" i="8"/>
  <c r="AZ39" i="8"/>
  <c r="AW39" i="8"/>
  <c r="AV6" i="7"/>
  <c r="AZ6" i="7" s="1"/>
  <c r="AW6" i="7"/>
  <c r="BA6" i="7" s="1"/>
  <c r="AV7" i="7"/>
  <c r="AZ7" i="7" s="1"/>
  <c r="AW7" i="7"/>
  <c r="BA7" i="7" s="1"/>
  <c r="AV8" i="7"/>
  <c r="AZ8" i="7" s="1"/>
  <c r="AW8" i="7"/>
  <c r="BA8" i="7" s="1"/>
  <c r="B9" i="7"/>
  <c r="B12" i="7" s="1"/>
  <c r="C9" i="7"/>
  <c r="C12" i="7" s="1"/>
  <c r="C14" i="7" s="1"/>
  <c r="D9" i="7"/>
  <c r="D12" i="7" s="1"/>
  <c r="D14" i="7" s="1"/>
  <c r="E9" i="7"/>
  <c r="E12" i="7" s="1"/>
  <c r="E14" i="7" s="1"/>
  <c r="F9" i="7"/>
  <c r="F12" i="7" s="1"/>
  <c r="F14" i="7" s="1"/>
  <c r="G9" i="7"/>
  <c r="G12" i="7" s="1"/>
  <c r="G14" i="7" s="1"/>
  <c r="H9" i="7"/>
  <c r="H12" i="7" s="1"/>
  <c r="H14" i="7" s="1"/>
  <c r="I9" i="7"/>
  <c r="I12" i="7" s="1"/>
  <c r="I14" i="7" s="1"/>
  <c r="J9" i="7"/>
  <c r="J12" i="7" s="1"/>
  <c r="J14" i="7" s="1"/>
  <c r="K9" i="7"/>
  <c r="K12" i="7" s="1"/>
  <c r="K14" i="7" s="1"/>
  <c r="L9" i="7"/>
  <c r="L12" i="7" s="1"/>
  <c r="L14" i="7" s="1"/>
  <c r="M9" i="7"/>
  <c r="N9" i="7"/>
  <c r="N12" i="7" s="1"/>
  <c r="N14" i="7" s="1"/>
  <c r="O9" i="7"/>
  <c r="O12" i="7" s="1"/>
  <c r="O14" i="7" s="1"/>
  <c r="P9" i="7"/>
  <c r="P12" i="7" s="1"/>
  <c r="P14" i="7" s="1"/>
  <c r="Q9" i="7"/>
  <c r="Q12" i="7" s="1"/>
  <c r="Q14" i="7" s="1"/>
  <c r="R9" i="7"/>
  <c r="R12" i="7" s="1"/>
  <c r="R14" i="7" s="1"/>
  <c r="S9" i="7"/>
  <c r="S12" i="7" s="1"/>
  <c r="S14" i="7" s="1"/>
  <c r="T9" i="7"/>
  <c r="T12" i="7" s="1"/>
  <c r="T14" i="7" s="1"/>
  <c r="U9" i="7"/>
  <c r="U12" i="7" s="1"/>
  <c r="U14" i="7" s="1"/>
  <c r="V9" i="7"/>
  <c r="V12" i="7" s="1"/>
  <c r="V14" i="7" s="1"/>
  <c r="W9" i="7"/>
  <c r="W12" i="7" s="1"/>
  <c r="W14" i="7" s="1"/>
  <c r="X9" i="7"/>
  <c r="X12" i="7" s="1"/>
  <c r="X14" i="7" s="1"/>
  <c r="Y9" i="7"/>
  <c r="Y12" i="7" s="1"/>
  <c r="Y14" i="7" s="1"/>
  <c r="Z9" i="7"/>
  <c r="Z12" i="7" s="1"/>
  <c r="Z14" i="7" s="1"/>
  <c r="AA9" i="7"/>
  <c r="AA12" i="7" s="1"/>
  <c r="AA14" i="7" s="1"/>
  <c r="AB9" i="7"/>
  <c r="AB12" i="7" s="1"/>
  <c r="AB14" i="7" s="1"/>
  <c r="AC9" i="7"/>
  <c r="AC12" i="7" s="1"/>
  <c r="AC14" i="7" s="1"/>
  <c r="AD9" i="7"/>
  <c r="AD12" i="7" s="1"/>
  <c r="AD14" i="7" s="1"/>
  <c r="AE9" i="7"/>
  <c r="AE12" i="7" s="1"/>
  <c r="AE14" i="7" s="1"/>
  <c r="AF9" i="7"/>
  <c r="AF12" i="7" s="1"/>
  <c r="AF14" i="7" s="1"/>
  <c r="AG9" i="7"/>
  <c r="AG12" i="7" s="1"/>
  <c r="AG14" i="7" s="1"/>
  <c r="AH9" i="7"/>
  <c r="AH12" i="7" s="1"/>
  <c r="AH14" i="7" s="1"/>
  <c r="AJ9" i="7"/>
  <c r="AJ12" i="7" s="1"/>
  <c r="AJ14" i="7" s="1"/>
  <c r="AK9" i="7"/>
  <c r="AK12" i="7" s="1"/>
  <c r="AK14" i="7" s="1"/>
  <c r="AL9" i="7"/>
  <c r="AN9" i="7"/>
  <c r="AN12" i="7" s="1"/>
  <c r="AN14" i="7" s="1"/>
  <c r="AO9" i="7"/>
  <c r="AO12" i="7" s="1"/>
  <c r="AO14" i="7" s="1"/>
  <c r="AP9" i="7"/>
  <c r="AP12" i="7" s="1"/>
  <c r="AP14" i="7" s="1"/>
  <c r="AQ9" i="7"/>
  <c r="AQ12" i="7" s="1"/>
  <c r="AQ14" i="7" s="1"/>
  <c r="AR9" i="7"/>
  <c r="AR12" i="7" s="1"/>
  <c r="AR14" i="7" s="1"/>
  <c r="AS9" i="7"/>
  <c r="AT9" i="7"/>
  <c r="AU9" i="7"/>
  <c r="AU12" i="7" s="1"/>
  <c r="AX9" i="7"/>
  <c r="AX12" i="7" s="1"/>
  <c r="AY9" i="7"/>
  <c r="AV10" i="7"/>
  <c r="AZ10" i="7" s="1"/>
  <c r="AW10" i="7"/>
  <c r="BA10" i="7" s="1"/>
  <c r="AV11" i="7"/>
  <c r="AZ11" i="7" s="1"/>
  <c r="AW11" i="7"/>
  <c r="BA11" i="7" s="1"/>
  <c r="AI12" i="7"/>
  <c r="AI14" i="7" s="1"/>
  <c r="M14" i="7"/>
  <c r="AL14" i="7"/>
  <c r="AM14" i="7"/>
  <c r="AS14" i="7"/>
  <c r="AT14" i="7"/>
  <c r="AV15" i="7"/>
  <c r="AZ15" i="7"/>
  <c r="AW15" i="7"/>
  <c r="BA15" i="7"/>
  <c r="AV16" i="7"/>
  <c r="AZ16" i="7"/>
  <c r="AW16" i="7"/>
  <c r="BA16" i="7" s="1"/>
  <c r="AV17" i="7"/>
  <c r="AZ17" i="7" s="1"/>
  <c r="AW17" i="7"/>
  <c r="BA17" i="7" s="1"/>
  <c r="AV18" i="7"/>
  <c r="AZ18" i="7" s="1"/>
  <c r="AW18" i="7"/>
  <c r="BA18" i="7" s="1"/>
  <c r="AV19" i="7"/>
  <c r="AZ19" i="7" s="1"/>
  <c r="AW19" i="7"/>
  <c r="BA19" i="7" s="1"/>
  <c r="AV20" i="7"/>
  <c r="AZ20" i="7" s="1"/>
  <c r="AW20" i="7"/>
  <c r="BA20" i="7" s="1"/>
  <c r="AV21" i="7"/>
  <c r="AZ21" i="7" s="1"/>
  <c r="AW21" i="7"/>
  <c r="BA21" i="7" s="1"/>
  <c r="AV22" i="7"/>
  <c r="AZ22" i="7" s="1"/>
  <c r="AW22" i="7"/>
  <c r="BA22" i="7" s="1"/>
  <c r="AV23" i="7"/>
  <c r="AZ23" i="7" s="1"/>
  <c r="AW23" i="7"/>
  <c r="BA23" i="7" s="1"/>
  <c r="AV24" i="7"/>
  <c r="AZ24" i="7" s="1"/>
  <c r="AW24" i="7"/>
  <c r="BA24" i="7" s="1"/>
  <c r="AV25" i="7"/>
  <c r="AZ25" i="7" s="1"/>
  <c r="AW25" i="7"/>
  <c r="BA25" i="7" s="1"/>
  <c r="AV27" i="7"/>
  <c r="AZ27" i="7" s="1"/>
  <c r="BA27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L28" i="7"/>
  <c r="AM28" i="7"/>
  <c r="AN28" i="7"/>
  <c r="AO28" i="7"/>
  <c r="AP28" i="7"/>
  <c r="AQ28" i="7"/>
  <c r="AR28" i="7"/>
  <c r="AS28" i="7"/>
  <c r="AT28" i="7"/>
  <c r="AU28" i="7"/>
  <c r="AX28" i="7"/>
  <c r="AY28" i="7"/>
  <c r="AV7" i="5"/>
  <c r="AZ7" i="5" s="1"/>
  <c r="AW7" i="5"/>
  <c r="BA7" i="5" s="1"/>
  <c r="AV8" i="5"/>
  <c r="AZ8" i="5" s="1"/>
  <c r="AW8" i="5"/>
  <c r="BA8" i="5" s="1"/>
  <c r="AV9" i="5"/>
  <c r="AZ9" i="5" s="1"/>
  <c r="AW9" i="5"/>
  <c r="BA9" i="5" s="1"/>
  <c r="B10" i="5"/>
  <c r="B14" i="5" s="1"/>
  <c r="C10" i="5"/>
  <c r="C14" i="5" s="1"/>
  <c r="D10" i="5"/>
  <c r="D14" i="5" s="1"/>
  <c r="E10" i="5"/>
  <c r="E12" i="5" s="1"/>
  <c r="F10" i="5"/>
  <c r="F14" i="5" s="1"/>
  <c r="G10" i="5"/>
  <c r="G12" i="5" s="1"/>
  <c r="H10" i="5"/>
  <c r="H14" i="5" s="1"/>
  <c r="I10" i="5"/>
  <c r="I14" i="5" s="1"/>
  <c r="J10" i="5"/>
  <c r="J12" i="5" s="1"/>
  <c r="K10" i="5"/>
  <c r="K12" i="5" s="1"/>
  <c r="L10" i="5"/>
  <c r="L12" i="5" s="1"/>
  <c r="M10" i="5"/>
  <c r="M14" i="5" s="1"/>
  <c r="N10" i="5"/>
  <c r="N12" i="5" s="1"/>
  <c r="O10" i="5"/>
  <c r="O12" i="5" s="1"/>
  <c r="P10" i="5"/>
  <c r="P14" i="5" s="1"/>
  <c r="Q10" i="5"/>
  <c r="Q14" i="5" s="1"/>
  <c r="R10" i="5"/>
  <c r="R12" i="5" s="1"/>
  <c r="S10" i="5"/>
  <c r="S12" i="5" s="1"/>
  <c r="T10" i="5"/>
  <c r="T12" i="5" s="1"/>
  <c r="U10" i="5"/>
  <c r="U14" i="5" s="1"/>
  <c r="V10" i="5"/>
  <c r="V12" i="5" s="1"/>
  <c r="W10" i="5"/>
  <c r="W12" i="5" s="1"/>
  <c r="X10" i="5"/>
  <c r="X14" i="5" s="1"/>
  <c r="Y10" i="5"/>
  <c r="Y14" i="5" s="1"/>
  <c r="Z10" i="5"/>
  <c r="Z14" i="5" s="1"/>
  <c r="AA10" i="5"/>
  <c r="AA12" i="5" s="1"/>
  <c r="AB10" i="5"/>
  <c r="AB12" i="5" s="1"/>
  <c r="AC10" i="5"/>
  <c r="AC14" i="5" s="1"/>
  <c r="AD10" i="5"/>
  <c r="AD12" i="5" s="1"/>
  <c r="AE10" i="5"/>
  <c r="AF10" i="5"/>
  <c r="AF12" i="5" s="1"/>
  <c r="AG10" i="5"/>
  <c r="AG14" i="5" s="1"/>
  <c r="AH10" i="5"/>
  <c r="AH12" i="5" s="1"/>
  <c r="AI10" i="5"/>
  <c r="AI12" i="5" s="1"/>
  <c r="AJ10" i="5"/>
  <c r="AJ12" i="5" s="1"/>
  <c r="AK10" i="5"/>
  <c r="AK12" i="5" s="1"/>
  <c r="AL10" i="5"/>
  <c r="AL14" i="5" s="1"/>
  <c r="AM10" i="5"/>
  <c r="AM12" i="5" s="1"/>
  <c r="AN10" i="5"/>
  <c r="AN12" i="5" s="1"/>
  <c r="AO10" i="5"/>
  <c r="AO14" i="5" s="1"/>
  <c r="AP10" i="5"/>
  <c r="AP14" i="5" s="1"/>
  <c r="AQ10" i="5"/>
  <c r="AR10" i="5"/>
  <c r="AR12" i="5" s="1"/>
  <c r="AS10" i="5"/>
  <c r="AS12" i="5" s="1"/>
  <c r="AT10" i="5"/>
  <c r="AT12" i="5" s="1"/>
  <c r="AU10" i="5"/>
  <c r="AU14" i="5" s="1"/>
  <c r="AX10" i="5"/>
  <c r="AY10" i="5"/>
  <c r="AY14" i="5" s="1"/>
  <c r="AV6" i="27"/>
  <c r="AZ6" i="27" s="1"/>
  <c r="AW6" i="27"/>
  <c r="BA6" i="27" s="1"/>
  <c r="AV7" i="27"/>
  <c r="AZ7" i="27" s="1"/>
  <c r="AW7" i="27"/>
  <c r="BA7" i="27" s="1"/>
  <c r="AV8" i="27"/>
  <c r="AZ8" i="27" s="1"/>
  <c r="AW8" i="27"/>
  <c r="BA8" i="27" s="1"/>
  <c r="C10" i="27"/>
  <c r="E10" i="27"/>
  <c r="F10" i="27"/>
  <c r="G10" i="27"/>
  <c r="I10" i="27"/>
  <c r="K10" i="27"/>
  <c r="M10" i="27"/>
  <c r="O10" i="27"/>
  <c r="Q10" i="27"/>
  <c r="S10" i="27"/>
  <c r="U10" i="27"/>
  <c r="W10" i="27"/>
  <c r="Y10" i="27"/>
  <c r="AA10" i="27"/>
  <c r="AC10" i="27"/>
  <c r="AG10" i="27"/>
  <c r="AK10" i="27"/>
  <c r="AL10" i="27"/>
  <c r="AM10" i="27"/>
  <c r="AO10" i="27"/>
  <c r="AQ10" i="27"/>
  <c r="AS10" i="27"/>
  <c r="AU10" i="27"/>
  <c r="AX10" i="27"/>
  <c r="AY10" i="27"/>
  <c r="AV11" i="27"/>
  <c r="AZ11" i="27" s="1"/>
  <c r="AW11" i="27"/>
  <c r="BA11" i="27" s="1"/>
  <c r="AV12" i="27"/>
  <c r="AZ12" i="27" s="1"/>
  <c r="AW12" i="27"/>
  <c r="BA12" i="27" s="1"/>
  <c r="AV13" i="27"/>
  <c r="AZ13" i="27" s="1"/>
  <c r="AW13" i="27"/>
  <c r="BA13" i="27" s="1"/>
  <c r="AW14" i="27"/>
  <c r="BA14" i="27" s="1"/>
  <c r="AV15" i="27"/>
  <c r="AZ15" i="27" s="1"/>
  <c r="AW15" i="27"/>
  <c r="BA15" i="27" s="1"/>
  <c r="AV16" i="27"/>
  <c r="AZ16" i="27" s="1"/>
  <c r="AW16" i="27"/>
  <c r="BA16" i="27" s="1"/>
  <c r="AV17" i="27"/>
  <c r="AZ17" i="27" s="1"/>
  <c r="AW17" i="27"/>
  <c r="BA17" i="27" s="1"/>
  <c r="AV18" i="27"/>
  <c r="AZ18" i="27" s="1"/>
  <c r="AW18" i="27"/>
  <c r="BA18" i="27" s="1"/>
  <c r="AV19" i="27"/>
  <c r="AZ19" i="27" s="1"/>
  <c r="AW19" i="27"/>
  <c r="BA19" i="27" s="1"/>
  <c r="AV20" i="27"/>
  <c r="AZ20" i="27" s="1"/>
  <c r="AW20" i="27"/>
  <c r="BA20" i="27" s="1"/>
  <c r="AV21" i="27"/>
  <c r="AZ21" i="27" s="1"/>
  <c r="AW21" i="27"/>
  <c r="BA21" i="27" s="1"/>
  <c r="AV22" i="27"/>
  <c r="AZ22" i="27" s="1"/>
  <c r="AW22" i="27"/>
  <c r="BA22" i="27" s="1"/>
  <c r="AV24" i="27"/>
  <c r="AZ24" i="27" s="1"/>
  <c r="AW24" i="27"/>
  <c r="BA24" i="27" s="1"/>
  <c r="AV25" i="27"/>
  <c r="AZ25" i="27" s="1"/>
  <c r="AW25" i="27"/>
  <c r="BA25" i="27" s="1"/>
  <c r="AV28" i="27"/>
  <c r="AZ28" i="27" s="1"/>
  <c r="AW28" i="27"/>
  <c r="BA28" i="27" s="1"/>
  <c r="AV29" i="27"/>
  <c r="AZ29" i="27" s="1"/>
  <c r="AW29" i="27"/>
  <c r="BA29" i="27" s="1"/>
  <c r="AV30" i="27"/>
  <c r="AZ30" i="27" s="1"/>
  <c r="AW30" i="27"/>
  <c r="BA30" i="27" s="1"/>
  <c r="AW31" i="27"/>
  <c r="BA31" i="27" s="1"/>
  <c r="AV32" i="27"/>
  <c r="AZ32" i="27" s="1"/>
  <c r="AW32" i="27"/>
  <c r="BA32" i="27" s="1"/>
  <c r="AV33" i="27"/>
  <c r="AZ33" i="27" s="1"/>
  <c r="AW33" i="27"/>
  <c r="BA33" i="27" s="1"/>
  <c r="AV34" i="27"/>
  <c r="AZ34" i="27" s="1"/>
  <c r="AW34" i="27"/>
  <c r="BA34" i="27" s="1"/>
  <c r="AV35" i="27"/>
  <c r="AZ35" i="27" s="1"/>
  <c r="AW35" i="27"/>
  <c r="BA35" i="27" s="1"/>
  <c r="AV36" i="27"/>
  <c r="AZ36" i="27" s="1"/>
  <c r="AW36" i="27"/>
  <c r="BA36" i="27" s="1"/>
  <c r="AV37" i="27"/>
  <c r="AZ37" i="27" s="1"/>
  <c r="AW37" i="27"/>
  <c r="BA37" i="27" s="1"/>
  <c r="AV38" i="27"/>
  <c r="AZ38" i="27" s="1"/>
  <c r="AW38" i="27"/>
  <c r="BA38" i="27" s="1"/>
  <c r="AV39" i="27"/>
  <c r="AZ39" i="27" s="1"/>
  <c r="AW39" i="27"/>
  <c r="BA39" i="27" s="1"/>
  <c r="AV40" i="27"/>
  <c r="AZ40" i="27" s="1"/>
  <c r="AW40" i="27"/>
  <c r="BA40" i="27" s="1"/>
  <c r="AV41" i="27"/>
  <c r="AZ41" i="27" s="1"/>
  <c r="AW41" i="27"/>
  <c r="BA41" i="27" s="1"/>
  <c r="AV42" i="27"/>
  <c r="AZ42" i="27" s="1"/>
  <c r="AW42" i="27"/>
  <c r="BA42" i="27" s="1"/>
  <c r="AV43" i="27"/>
  <c r="AZ43" i="27" s="1"/>
  <c r="AW43" i="27"/>
  <c r="BA43" i="27" s="1"/>
  <c r="AV44" i="27"/>
  <c r="AZ44" i="27" s="1"/>
  <c r="AW44" i="27"/>
  <c r="BA44" i="27" s="1"/>
  <c r="AV45" i="27"/>
  <c r="AZ45" i="27" s="1"/>
  <c r="AW45" i="27"/>
  <c r="BA45" i="27" s="1"/>
  <c r="AV46" i="27"/>
  <c r="AZ46" i="27" s="1"/>
  <c r="AW46" i="27"/>
  <c r="BA46" i="27" s="1"/>
  <c r="C47" i="27"/>
  <c r="E47" i="27"/>
  <c r="F47" i="27"/>
  <c r="G47" i="27"/>
  <c r="I47" i="27"/>
  <c r="K47" i="27"/>
  <c r="K51" i="27" s="1"/>
  <c r="M47" i="27"/>
  <c r="O47" i="27"/>
  <c r="Q47" i="27"/>
  <c r="S47" i="27"/>
  <c r="U47" i="27"/>
  <c r="AA47" i="27"/>
  <c r="AC47" i="27"/>
  <c r="AE47" i="27"/>
  <c r="AZ47" i="27"/>
  <c r="BA47" i="27"/>
  <c r="AV48" i="27"/>
  <c r="AZ48" i="27" s="1"/>
  <c r="AW48" i="27"/>
  <c r="BA48" i="27" s="1"/>
  <c r="AV49" i="27"/>
  <c r="AZ49" i="27" s="1"/>
  <c r="AW49" i="27"/>
  <c r="BA49" i="27" s="1"/>
  <c r="C50" i="27"/>
  <c r="E50" i="27"/>
  <c r="F50" i="27"/>
  <c r="G50" i="27"/>
  <c r="I50" i="27"/>
  <c r="M50" i="27"/>
  <c r="O50" i="27"/>
  <c r="Q50" i="27"/>
  <c r="S50" i="27"/>
  <c r="U50" i="27"/>
  <c r="Y50" i="27"/>
  <c r="Y51" i="27" s="1"/>
  <c r="AA50" i="27"/>
  <c r="AC50" i="27"/>
  <c r="AE50" i="27"/>
  <c r="AS50" i="27"/>
  <c r="AS51" i="27" s="1"/>
  <c r="AU50" i="27"/>
  <c r="AU51" i="27" s="1"/>
  <c r="AY50" i="27"/>
  <c r="AY51" i="27" s="1"/>
  <c r="AM51" i="27"/>
  <c r="AV52" i="27"/>
  <c r="AZ52" i="27" s="1"/>
  <c r="AW52" i="27"/>
  <c r="BA52" i="27" s="1"/>
  <c r="AV53" i="27"/>
  <c r="AZ53" i="27" s="1"/>
  <c r="AW53" i="27"/>
  <c r="BA53" i="27" s="1"/>
  <c r="AV54" i="27"/>
  <c r="AZ54" i="27" s="1"/>
  <c r="AW54" i="27"/>
  <c r="BA54" i="27" s="1"/>
  <c r="AV55" i="27"/>
  <c r="AZ55" i="27" s="1"/>
  <c r="AW55" i="27"/>
  <c r="BA55" i="27" s="1"/>
  <c r="AV56" i="27"/>
  <c r="AZ56" i="27" s="1"/>
  <c r="AW56" i="27"/>
  <c r="BA56" i="27" s="1"/>
  <c r="AV57" i="27"/>
  <c r="AZ57" i="27" s="1"/>
  <c r="AW57" i="27"/>
  <c r="BA57" i="27" s="1"/>
  <c r="AV58" i="27"/>
  <c r="AZ58" i="27" s="1"/>
  <c r="AW58" i="27"/>
  <c r="BA58" i="27" s="1"/>
  <c r="AV59" i="27"/>
  <c r="AZ59" i="27" s="1"/>
  <c r="AW59" i="27"/>
  <c r="BA59" i="27" s="1"/>
  <c r="AW60" i="27"/>
  <c r="BA60" i="27" s="1"/>
  <c r="AV61" i="27"/>
  <c r="AZ61" i="27" s="1"/>
  <c r="AW61" i="27"/>
  <c r="BA61" i="27" s="1"/>
  <c r="AV62" i="27"/>
  <c r="AZ62" i="27" s="1"/>
  <c r="AW62" i="27"/>
  <c r="BA62" i="27" s="1"/>
  <c r="AV63" i="27"/>
  <c r="AZ63" i="27" s="1"/>
  <c r="AW63" i="27"/>
  <c r="BA63" i="27" s="1"/>
  <c r="AV64" i="27"/>
  <c r="AZ64" i="27" s="1"/>
  <c r="AW64" i="27"/>
  <c r="BA64" i="27" s="1"/>
  <c r="AV65" i="27"/>
  <c r="AZ65" i="27" s="1"/>
  <c r="AW65" i="27"/>
  <c r="BA65" i="27" s="1"/>
  <c r="AV67" i="27"/>
  <c r="AZ67" i="27" s="1"/>
  <c r="AW67" i="27"/>
  <c r="BA67" i="27" s="1"/>
  <c r="AV5" i="11"/>
  <c r="AZ5" i="11" s="1"/>
  <c r="AW5" i="11"/>
  <c r="BA5" i="11" s="1"/>
  <c r="AV6" i="11"/>
  <c r="AZ6" i="11" s="1"/>
  <c r="AW6" i="11"/>
  <c r="BA6" i="11" s="1"/>
  <c r="AV7" i="11"/>
  <c r="AZ7" i="11" s="1"/>
  <c r="AW7" i="11"/>
  <c r="BA7" i="11" s="1"/>
  <c r="AV8" i="11"/>
  <c r="AZ8" i="11" s="1"/>
  <c r="AW8" i="11"/>
  <c r="BA8" i="11" s="1"/>
  <c r="AV9" i="11"/>
  <c r="AZ9" i="11" s="1"/>
  <c r="AW9" i="11"/>
  <c r="BA9" i="11" s="1"/>
  <c r="AV10" i="11"/>
  <c r="AZ10" i="11" s="1"/>
  <c r="AW10" i="11"/>
  <c r="BA10" i="11" s="1"/>
  <c r="AV12" i="11"/>
  <c r="AZ12" i="11" s="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Z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P13" i="11"/>
  <c r="AR13" i="11"/>
  <c r="AS13" i="11"/>
  <c r="AT13" i="11"/>
  <c r="AU13" i="11"/>
  <c r="AX13" i="11"/>
  <c r="AY13" i="11"/>
  <c r="B27" i="11"/>
  <c r="AV14" i="11"/>
  <c r="AZ14" i="11" s="1"/>
  <c r="H27" i="11"/>
  <c r="V27" i="11"/>
  <c r="AD27" i="11"/>
  <c r="AW14" i="11"/>
  <c r="AV15" i="11"/>
  <c r="AZ15" i="11" s="1"/>
  <c r="AW15" i="11"/>
  <c r="BA15" i="11" s="1"/>
  <c r="AV16" i="11"/>
  <c r="AZ16" i="11" s="1"/>
  <c r="AW16" i="11"/>
  <c r="BA16" i="11" s="1"/>
  <c r="AV17" i="11"/>
  <c r="AZ17" i="11" s="1"/>
  <c r="AW17" i="11"/>
  <c r="BA17" i="11" s="1"/>
  <c r="AV18" i="11"/>
  <c r="AZ18" i="11" s="1"/>
  <c r="AW18" i="11"/>
  <c r="BA18" i="11" s="1"/>
  <c r="AW19" i="11"/>
  <c r="BA19" i="11" s="1"/>
  <c r="AZ19" i="11"/>
  <c r="AV20" i="11"/>
  <c r="AZ20" i="11" s="1"/>
  <c r="AW20" i="11"/>
  <c r="BA20" i="11" s="1"/>
  <c r="AV21" i="11"/>
  <c r="AZ21" i="11" s="1"/>
  <c r="AW21" i="11"/>
  <c r="BA21" i="11" s="1"/>
  <c r="AV22" i="11"/>
  <c r="AZ22" i="11" s="1"/>
  <c r="M27" i="11"/>
  <c r="AS27" i="11"/>
  <c r="AV23" i="11"/>
  <c r="AZ23" i="11" s="1"/>
  <c r="AW23" i="11"/>
  <c r="BA23" i="11" s="1"/>
  <c r="AV24" i="11"/>
  <c r="AZ24" i="11" s="1"/>
  <c r="AW24" i="11"/>
  <c r="BA24" i="11" s="1"/>
  <c r="AV25" i="11"/>
  <c r="AZ25" i="11" s="1"/>
  <c r="AW25" i="11"/>
  <c r="BA25" i="11" s="1"/>
  <c r="C27" i="11"/>
  <c r="D27" i="11"/>
  <c r="E27" i="11"/>
  <c r="F27" i="11"/>
  <c r="G27" i="11"/>
  <c r="I27" i="11"/>
  <c r="K27" i="11"/>
  <c r="O27" i="11"/>
  <c r="P27" i="11"/>
  <c r="Q27" i="11"/>
  <c r="R27" i="11"/>
  <c r="S27" i="11"/>
  <c r="T27" i="11"/>
  <c r="U27" i="11"/>
  <c r="W27" i="11"/>
  <c r="AB27" i="11"/>
  <c r="AC27" i="11"/>
  <c r="AE27" i="11"/>
  <c r="AF27" i="11"/>
  <c r="AI27" i="11"/>
  <c r="AK27" i="11"/>
  <c r="AL27" i="11"/>
  <c r="AM27" i="11"/>
  <c r="AN27" i="11"/>
  <c r="AO27" i="11"/>
  <c r="AP27" i="11"/>
  <c r="AQ27" i="11"/>
  <c r="AX27" i="11"/>
  <c r="AY27" i="11"/>
  <c r="AV28" i="11"/>
  <c r="AZ28" i="11" s="1"/>
  <c r="AW28" i="11"/>
  <c r="BA28" i="11" s="1"/>
  <c r="AV29" i="11"/>
  <c r="AZ29" i="11" s="1"/>
  <c r="AW29" i="11"/>
  <c r="BA29" i="11" s="1"/>
  <c r="AV31" i="11"/>
  <c r="AZ31" i="11" s="1"/>
  <c r="AW31" i="11"/>
  <c r="BA31" i="11" s="1"/>
  <c r="AV32" i="11"/>
  <c r="AZ32" i="11" s="1"/>
  <c r="AW32" i="11"/>
  <c r="BA32" i="11" s="1"/>
  <c r="AW33" i="11"/>
  <c r="BA33" i="11" s="1"/>
  <c r="T33" i="11"/>
  <c r="U41" i="11"/>
  <c r="AV34" i="11"/>
  <c r="AZ34" i="11" s="1"/>
  <c r="AW34" i="11"/>
  <c r="BA34" i="11" s="1"/>
  <c r="AV35" i="11"/>
  <c r="AZ35" i="11" s="1"/>
  <c r="AW35" i="11"/>
  <c r="BA35" i="11" s="1"/>
  <c r="AV36" i="11"/>
  <c r="AZ36" i="11" s="1"/>
  <c r="AW36" i="11"/>
  <c r="BA36" i="11" s="1"/>
  <c r="AV37" i="11"/>
  <c r="AZ37" i="11" s="1"/>
  <c r="AW37" i="11"/>
  <c r="BA37" i="11" s="1"/>
  <c r="AV38" i="11"/>
  <c r="AZ38" i="11"/>
  <c r="AW38" i="11"/>
  <c r="BA38" i="11" s="1"/>
  <c r="AV39" i="11"/>
  <c r="AZ39" i="11" s="1"/>
  <c r="AW39" i="11"/>
  <c r="BA39" i="11" s="1"/>
  <c r="B41" i="11"/>
  <c r="D41" i="11"/>
  <c r="F41" i="11"/>
  <c r="K41" i="11"/>
  <c r="M41" i="11"/>
  <c r="N41" i="11"/>
  <c r="Q41" i="11"/>
  <c r="R41" i="11"/>
  <c r="S41" i="11"/>
  <c r="AA41" i="11"/>
  <c r="AC41" i="11"/>
  <c r="AJ41" i="11"/>
  <c r="AK41" i="11"/>
  <c r="AL41" i="11"/>
  <c r="AM41" i="11"/>
  <c r="AN41" i="11"/>
  <c r="AO41" i="11"/>
  <c r="C8" i="19"/>
  <c r="D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B8" i="19"/>
  <c r="AC8" i="19"/>
  <c r="AD8" i="19"/>
  <c r="AE8" i="19"/>
  <c r="AF8" i="19"/>
  <c r="AG8" i="19"/>
  <c r="AH8" i="19"/>
  <c r="AJ8" i="19"/>
  <c r="AK8" i="19"/>
  <c r="AL8" i="19"/>
  <c r="AM8" i="19"/>
  <c r="AN8" i="19"/>
  <c r="AO8" i="19"/>
  <c r="AP8" i="19"/>
  <c r="AQ8" i="19"/>
  <c r="AR8" i="19"/>
  <c r="AS8" i="19"/>
  <c r="AT8" i="19"/>
  <c r="AU8" i="19"/>
  <c r="AV8" i="19"/>
  <c r="AW8" i="19"/>
  <c r="AX8" i="19"/>
  <c r="C56" i="19"/>
  <c r="AK56" i="19"/>
  <c r="AM56" i="19"/>
  <c r="AN56" i="19"/>
  <c r="AU56" i="19"/>
  <c r="AW56" i="19"/>
  <c r="AE14" i="22"/>
  <c r="AW12" i="11"/>
  <c r="BA12" i="11" s="1"/>
  <c r="AA13" i="11"/>
  <c r="G41" i="11"/>
  <c r="AW22" i="11"/>
  <c r="BA22" i="11" s="1"/>
  <c r="AE10" i="27"/>
  <c r="I34" i="6"/>
  <c r="I36" i="6" s="1"/>
  <c r="I38" i="6" s="1"/>
  <c r="AV11" i="2"/>
  <c r="AZ11" i="2" s="1"/>
  <c r="R14" i="5"/>
  <c r="I12" i="5"/>
  <c r="AW5" i="27"/>
  <c r="BA5" i="27" s="1"/>
  <c r="AG14" i="22"/>
  <c r="AW5" i="22"/>
  <c r="BA5" i="22" s="1"/>
  <c r="AG38" i="8"/>
  <c r="AF38" i="8"/>
  <c r="S38" i="8"/>
  <c r="AG27" i="11"/>
  <c r="AQ14" i="5"/>
  <c r="AQ12" i="5"/>
  <c r="AJ27" i="11"/>
  <c r="AT38" i="8"/>
  <c r="AV66" i="27"/>
  <c r="AZ66" i="27" s="1"/>
  <c r="AW66" i="27"/>
  <c r="BA66" i="27" s="1"/>
  <c r="AE12" i="5"/>
  <c r="AE14" i="5"/>
  <c r="Z12" i="5"/>
  <c r="AU34" i="6"/>
  <c r="AU36" i="6" s="1"/>
  <c r="AZ25" i="6"/>
  <c r="AZ28" i="6"/>
  <c r="AZ37" i="6"/>
  <c r="AZ33" i="6"/>
  <c r="AZ9" i="6"/>
  <c r="AZ31" i="6"/>
  <c r="AZ30" i="6"/>
  <c r="AZ26" i="6"/>
  <c r="AZ35" i="6"/>
  <c r="AZ32" i="6"/>
  <c r="AZ21" i="6"/>
  <c r="AZ19" i="6"/>
  <c r="AH51" i="27" l="1"/>
  <c r="AF51" i="27"/>
  <c r="AV18" i="4"/>
  <c r="AZ18" i="4" s="1"/>
  <c r="D51" i="27"/>
  <c r="B32" i="29"/>
  <c r="B42" i="29" s="1"/>
  <c r="AR14" i="5"/>
  <c r="AJ14" i="5"/>
  <c r="X22" i="29"/>
  <c r="X25" i="29" s="1"/>
  <c r="X32" i="29" s="1"/>
  <c r="AS14" i="5"/>
  <c r="AD51" i="27"/>
  <c r="AV50" i="27"/>
  <c r="AZ50" i="27" s="1"/>
  <c r="Z51" i="27"/>
  <c r="T51" i="27"/>
  <c r="N51" i="27"/>
  <c r="J51" i="27"/>
  <c r="AV33" i="11"/>
  <c r="AZ33" i="11" s="1"/>
  <c r="AZ41" i="11" s="1"/>
  <c r="E51" i="27"/>
  <c r="AO12" i="5"/>
  <c r="Y12" i="5"/>
  <c r="X38" i="8"/>
  <c r="AG12" i="5"/>
  <c r="L27" i="11"/>
  <c r="AV27" i="11" s="1"/>
  <c r="AZ27" i="11" s="1"/>
  <c r="G51" i="27"/>
  <c r="O14" i="5"/>
  <c r="O51" i="27"/>
  <c r="AV22" i="6"/>
  <c r="AZ22" i="6" s="1"/>
  <c r="AU12" i="5"/>
  <c r="AC51" i="27"/>
  <c r="I51" i="27"/>
  <c r="AL12" i="5"/>
  <c r="AV36" i="8"/>
  <c r="AZ36" i="8" s="1"/>
  <c r="R51" i="27"/>
  <c r="L51" i="27"/>
  <c r="AV13" i="11"/>
  <c r="AZ13" i="11" s="1"/>
  <c r="AV41" i="11"/>
  <c r="AH14" i="5"/>
  <c r="AF14" i="5"/>
  <c r="AD14" i="5"/>
  <c r="X12" i="5"/>
  <c r="S14" i="5"/>
  <c r="N14" i="5"/>
  <c r="L14" i="5"/>
  <c r="J14" i="5"/>
  <c r="H12" i="5"/>
  <c r="B12" i="5"/>
  <c r="C12" i="5"/>
  <c r="F12" i="5"/>
  <c r="AV28" i="7"/>
  <c r="AZ28" i="7" s="1"/>
  <c r="D12" i="5"/>
  <c r="B14" i="7"/>
  <c r="AV12" i="7"/>
  <c r="AZ12" i="7" s="1"/>
  <c r="AV20" i="4"/>
  <c r="AZ20" i="4" s="1"/>
  <c r="P12" i="5"/>
  <c r="AV10" i="5"/>
  <c r="AZ10" i="5" s="1"/>
  <c r="AA51" i="27"/>
  <c r="AX14" i="5"/>
  <c r="AB14" i="5"/>
  <c r="AT34" i="6"/>
  <c r="AT36" i="6" s="1"/>
  <c r="AT38" i="6" s="1"/>
  <c r="U12" i="5"/>
  <c r="G14" i="5"/>
  <c r="AT14" i="5"/>
  <c r="V14" i="5"/>
  <c r="AV14" i="2"/>
  <c r="AZ14" i="2" s="1"/>
  <c r="AP12" i="5"/>
  <c r="AN14" i="5"/>
  <c r="T14" i="5"/>
  <c r="M12" i="5"/>
  <c r="B38" i="6"/>
  <c r="AV9" i="7"/>
  <c r="AZ9" i="7" s="1"/>
  <c r="S51" i="27"/>
  <c r="AE51" i="27"/>
  <c r="AM14" i="5"/>
  <c r="J38" i="8"/>
  <c r="K14" i="5"/>
  <c r="E14" i="5"/>
  <c r="C51" i="27"/>
  <c r="AC12" i="5"/>
  <c r="Q12" i="5"/>
  <c r="AV23" i="27"/>
  <c r="AZ23" i="27" s="1"/>
  <c r="P51" i="27"/>
  <c r="H51" i="27"/>
  <c r="AB51" i="27"/>
  <c r="R38" i="8"/>
  <c r="B51" i="27"/>
  <c r="AV14" i="1"/>
  <c r="AZ14" i="1" s="1"/>
  <c r="AV19" i="3"/>
  <c r="AZ19" i="3" s="1"/>
  <c r="D21" i="3"/>
  <c r="AV21" i="3" s="1"/>
  <c r="AZ21" i="3" s="1"/>
  <c r="AV12" i="1"/>
  <c r="AZ12" i="1" s="1"/>
  <c r="AV12" i="2"/>
  <c r="AZ12" i="2" s="1"/>
  <c r="AW13" i="11"/>
  <c r="AW27" i="11"/>
  <c r="AW41" i="11"/>
  <c r="BA41" i="11"/>
  <c r="U51" i="27"/>
  <c r="Q51" i="27"/>
  <c r="AW50" i="27"/>
  <c r="BA50" i="27" s="1"/>
  <c r="M51" i="27"/>
  <c r="AV10" i="27"/>
  <c r="AZ10" i="27" s="1"/>
  <c r="AW10" i="27"/>
  <c r="BA10" i="27" s="1"/>
  <c r="W14" i="5"/>
  <c r="AA14" i="5"/>
  <c r="AI14" i="5"/>
  <c r="AK14" i="5"/>
  <c r="AW10" i="5"/>
  <c r="BA10" i="5" s="1"/>
  <c r="AW9" i="7"/>
  <c r="BA9" i="7" s="1"/>
  <c r="AW28" i="7"/>
  <c r="BA28" i="7" s="1"/>
  <c r="AU14" i="7"/>
  <c r="AW12" i="7"/>
  <c r="AY12" i="7"/>
  <c r="AW38" i="8"/>
  <c r="BA38" i="8" s="1"/>
  <c r="AW34" i="6"/>
  <c r="BA34" i="6" s="1"/>
  <c r="AW36" i="6"/>
  <c r="BA36" i="6" s="1"/>
  <c r="AU38" i="6"/>
  <c r="AW38" i="6" s="1"/>
  <c r="BA38" i="6" s="1"/>
  <c r="BE38" i="6" s="1"/>
  <c r="AW14" i="22"/>
  <c r="BA14" i="22" s="1"/>
  <c r="AW6" i="22"/>
  <c r="BA6" i="22" s="1"/>
  <c r="AV14" i="22"/>
  <c r="AZ14" i="22" s="1"/>
  <c r="T42" i="29"/>
  <c r="AT38" i="29"/>
  <c r="AV38" i="29" s="1"/>
  <c r="AV13" i="29"/>
  <c r="AZ13" i="29" s="1"/>
  <c r="AV19" i="29"/>
  <c r="AZ19" i="29" s="1"/>
  <c r="R25" i="29"/>
  <c r="R32" i="29" s="1"/>
  <c r="R42" i="29" s="1"/>
  <c r="AW19" i="3"/>
  <c r="BA19" i="3" s="1"/>
  <c r="AU21" i="3"/>
  <c r="AW21" i="3" s="1"/>
  <c r="BA21" i="3" s="1"/>
  <c r="AW18" i="4"/>
  <c r="BA18" i="4" s="1"/>
  <c r="AQ20" i="4"/>
  <c r="AW20" i="4" s="1"/>
  <c r="BA20" i="4" s="1"/>
  <c r="AW12" i="2"/>
  <c r="BA12" i="2" s="1"/>
  <c r="E14" i="2"/>
  <c r="AW14" i="2" s="1"/>
  <c r="BA14" i="2" s="1"/>
  <c r="BA12" i="1"/>
  <c r="BA14" i="1"/>
  <c r="F51" i="27"/>
  <c r="AV22" i="29" l="1"/>
  <c r="AZ22" i="29" s="1"/>
  <c r="AV25" i="29"/>
  <c r="AZ25" i="29" s="1"/>
  <c r="AV38" i="6"/>
  <c r="AZ38" i="6" s="1"/>
  <c r="AV38" i="8"/>
  <c r="AZ38" i="8" s="1"/>
  <c r="AV14" i="5"/>
  <c r="AZ14" i="5" s="1"/>
  <c r="AV12" i="5"/>
  <c r="AZ12" i="5" s="1"/>
  <c r="AW12" i="5"/>
  <c r="BA12" i="5" s="1"/>
  <c r="AV36" i="6"/>
  <c r="AZ36" i="6" s="1"/>
  <c r="AV51" i="27"/>
  <c r="AZ51" i="27" s="1"/>
  <c r="AV34" i="6"/>
  <c r="AZ34" i="6" s="1"/>
  <c r="AW51" i="27"/>
  <c r="BA51" i="27" s="1"/>
  <c r="AW14" i="5"/>
  <c r="BA14" i="5" s="1"/>
  <c r="BA12" i="7"/>
  <c r="AV42" i="29"/>
  <c r="AZ42" i="29" s="1"/>
  <c r="AV32" i="29"/>
  <c r="AZ32" i="29" s="1"/>
</calcChain>
</file>

<file path=xl/sharedStrings.xml><?xml version="1.0" encoding="utf-8"?>
<sst xmlns="http://schemas.openxmlformats.org/spreadsheetml/2006/main" count="1501" uniqueCount="374">
  <si>
    <t>Particulars</t>
  </si>
  <si>
    <t>Private Total</t>
  </si>
  <si>
    <t>Grand Total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</si>
  <si>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</si>
  <si>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</si>
  <si>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</si>
  <si>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</si>
  <si>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</si>
  <si>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</si>
  <si>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Others (only)</t>
  </si>
  <si>
    <t>Total(A)</t>
  </si>
  <si>
    <t>Referral  (B)</t>
  </si>
  <si>
    <t>Grand Total (A+B)</t>
  </si>
  <si>
    <t>L37:BUSINESS ACQUISITION THROUGH DIFFERENT CHANNELS (GROUP) Lives</t>
  </si>
  <si>
    <t>Channels</t>
  </si>
  <si>
    <t>CSC</t>
  </si>
  <si>
    <t>POS</t>
  </si>
  <si>
    <t>IMF</t>
  </si>
  <si>
    <t>Online</t>
  </si>
  <si>
    <t>Web Aggregators</t>
  </si>
  <si>
    <t>Total (A)</t>
  </si>
  <si>
    <t>Premiums earned - Net</t>
  </si>
  <si>
    <t>(a) Premium</t>
  </si>
  <si>
    <t>Direct   -  First year premiums</t>
  </si>
  <si>
    <t xml:space="preserve">           -  Renewal premiums</t>
  </si>
  <si>
    <t xml:space="preserve">           -  Single premiums</t>
  </si>
  <si>
    <t>Total premium</t>
  </si>
  <si>
    <t>Premium Income from business written:</t>
  </si>
  <si>
    <t>- In India</t>
  </si>
  <si>
    <t>- Outside India</t>
  </si>
  <si>
    <t>Insurance claims</t>
  </si>
  <si>
    <t>(a) Claims by death</t>
  </si>
  <si>
    <t>(b) Claims by maturity</t>
  </si>
  <si>
    <t>(c) Annuities  /  Pension payment</t>
  </si>
  <si>
    <t>(d) Others</t>
  </si>
  <si>
    <t>Survival Benefits</t>
  </si>
  <si>
    <t xml:space="preserve">- Surrender </t>
  </si>
  <si>
    <t xml:space="preserve">- Discontinuance/Lapsed Termination </t>
  </si>
  <si>
    <t xml:space="preserve">- Withdrawals </t>
  </si>
  <si>
    <t xml:space="preserve">- Rider </t>
  </si>
  <si>
    <t xml:space="preserve">- Health </t>
  </si>
  <si>
    <t>Lumpsum Benefit/Income Benefit(Installment)</t>
  </si>
  <si>
    <t>Bonus to Policyholders</t>
  </si>
  <si>
    <t>Vesting of pension policy</t>
  </si>
  <si>
    <t>Waiver of Premium</t>
  </si>
  <si>
    <t xml:space="preserve">- Interest on unclaimed amounts  </t>
  </si>
  <si>
    <t>Claim Investigation Fees</t>
  </si>
  <si>
    <t xml:space="preserve">- Others </t>
  </si>
  <si>
    <t>(Amount ceded in reinsurance)</t>
  </si>
  <si>
    <t>(c) Annuities  /  pension payment</t>
  </si>
  <si>
    <t>(d) Other benefits/Health</t>
  </si>
  <si>
    <t>(e) Riders</t>
  </si>
  <si>
    <t>Amount accepted in reinsurance</t>
  </si>
  <si>
    <t>(d) Other benefits</t>
  </si>
  <si>
    <t>Total</t>
  </si>
  <si>
    <t>Benefits paid to Claimants</t>
  </si>
  <si>
    <t>In India</t>
  </si>
  <si>
    <t>Outside India</t>
  </si>
  <si>
    <t>L4:PREMIUM SCHEDULE</t>
  </si>
  <si>
    <t>Commission</t>
  </si>
  <si>
    <t>Direct    -  First year premiums</t>
  </si>
  <si>
    <t xml:space="preserve">              -  Renewal premiums</t>
  </si>
  <si>
    <t xml:space="preserve">              -  Single premiums</t>
  </si>
  <si>
    <t>Add: Commission on Re-insurance accepted</t>
  </si>
  <si>
    <t>Less: Commission on Re-insurance ceded</t>
  </si>
  <si>
    <t>Net commission</t>
  </si>
  <si>
    <t xml:space="preserve">Break-up of the commission expenses (Gross) </t>
  </si>
  <si>
    <t>incurred to procure business:</t>
  </si>
  <si>
    <t>Agents</t>
  </si>
  <si>
    <t>Corporate agency</t>
  </si>
  <si>
    <t>Bancassurance</t>
  </si>
  <si>
    <t>Micro Insurance Agent</t>
  </si>
  <si>
    <t>Web Aggregator</t>
  </si>
  <si>
    <t>Referral</t>
  </si>
  <si>
    <t>Others</t>
  </si>
  <si>
    <t xml:space="preserve">Employees' remuneration &amp; welfare benefits </t>
  </si>
  <si>
    <t>Travel, conveyance and vehicle running expenses</t>
  </si>
  <si>
    <t>Training expenses</t>
  </si>
  <si>
    <t xml:space="preserve">Rent, rates &amp; taxes </t>
  </si>
  <si>
    <t>Repairs</t>
  </si>
  <si>
    <t>Printing &amp; stationery</t>
  </si>
  <si>
    <t>Communication expenses</t>
  </si>
  <si>
    <t>Legal &amp; professional charges</t>
  </si>
  <si>
    <t>Medical fees</t>
  </si>
  <si>
    <t>Auditors' fees,expenses,etc.</t>
  </si>
  <si>
    <t>(a) as auditor</t>
  </si>
  <si>
    <t>(b) as adviser or in any other capacity,in respect of</t>
  </si>
  <si>
    <t xml:space="preserve">      (i) Taxation matters</t>
  </si>
  <si>
    <t xml:space="preserve">      (ii) Insurance matters</t>
  </si>
  <si>
    <t xml:space="preserve">      (iii)Management services; certification fee</t>
  </si>
  <si>
    <t>(c) in any other capacity</t>
  </si>
  <si>
    <t xml:space="preserve">(d) Out of pocket expenses </t>
  </si>
  <si>
    <t>Advertisement, Publicity and marketing</t>
  </si>
  <si>
    <t>Interest &amp; bank charges</t>
  </si>
  <si>
    <t xml:space="preserve">Agent Recruitment expenses </t>
  </si>
  <si>
    <t>Information technology expenses</t>
  </si>
  <si>
    <t>Goods and Service Tax/ Service Tax</t>
  </si>
  <si>
    <t>Stamp duty on policies</t>
  </si>
  <si>
    <t>Depreciation</t>
  </si>
  <si>
    <t>(Profit)/Loss on sale of Assests</t>
  </si>
  <si>
    <t>Distribution Expenses</t>
  </si>
  <si>
    <t>Business promotion expenses</t>
  </si>
  <si>
    <t>Business Processing Services</t>
  </si>
  <si>
    <t xml:space="preserve">Office Expenses </t>
  </si>
  <si>
    <t>Electricity</t>
  </si>
  <si>
    <t xml:space="preserve">Recruitment expenses </t>
  </si>
  <si>
    <t>Other expenses</t>
  </si>
  <si>
    <t>outsourcing expenses</t>
  </si>
  <si>
    <t>Contribution from Sharehoders Account towards Expense of Management</t>
  </si>
  <si>
    <r>
      <rPr>
        <sz val="9"/>
        <rFont val="Comic Sans MS"/>
        <family val="4"/>
      </rPr>
      <t>Surplus/ (Deficit) from Policyholders Accounts</t>
    </r>
  </si>
  <si>
    <r>
      <rPr>
        <sz val="9"/>
        <rFont val="Comic Sans MS"/>
        <family val="4"/>
      </rPr>
      <t>Income from Investments</t>
    </r>
  </si>
  <si>
    <r>
      <rPr>
        <sz val="9"/>
        <rFont val="Comic Sans MS"/>
        <family val="4"/>
      </rPr>
      <t>(a) Interest, Dividend &amp; Rent -  Gross</t>
    </r>
  </si>
  <si>
    <r>
      <rPr>
        <sz val="9"/>
        <rFont val="Comic Sans MS"/>
        <family val="4"/>
      </rPr>
      <t>(b) Profit on sale / redemption of investments</t>
    </r>
  </si>
  <si>
    <r>
      <rPr>
        <sz val="9"/>
        <rFont val="Comic Sans MS"/>
        <family val="4"/>
      </rPr>
      <t>(c) (Loss on sale / redemption of investments)</t>
    </r>
  </si>
  <si>
    <r>
      <rPr>
        <sz val="9"/>
        <rFont val="Comic Sans MS"/>
        <family val="4"/>
      </rPr>
      <t>(d) Accretion of discount/(amortisation of premium) (net)</t>
    </r>
  </si>
  <si>
    <r>
      <rPr>
        <sz val="9"/>
        <rFont val="Comic Sans MS"/>
        <family val="4"/>
      </rPr>
      <t>Other Income</t>
    </r>
  </si>
  <si>
    <r>
      <rPr>
        <sz val="9"/>
        <rFont val="Comic Sans MS"/>
        <family val="4"/>
      </rPr>
      <t>Expenses other than those directly related to the insurance business</t>
    </r>
  </si>
  <si>
    <r>
      <rPr>
        <sz val="9"/>
        <rFont val="Comic Sans MS"/>
        <family val="4"/>
      </rPr>
      <t>(a) Rates and Taxes</t>
    </r>
  </si>
  <si>
    <r>
      <rPr>
        <sz val="9"/>
        <rFont val="Comic Sans MS"/>
        <family val="4"/>
      </rPr>
      <t>(b) Directors' Sitting Fees</t>
    </r>
  </si>
  <si>
    <r>
      <rPr>
        <sz val="9"/>
        <rFont val="Comic Sans MS"/>
        <family val="4"/>
      </rPr>
      <t>(c) Board Meeting Related Expenses</t>
    </r>
  </si>
  <si>
    <r>
      <rPr>
        <sz val="9"/>
        <rFont val="Comic Sans MS"/>
        <family val="4"/>
      </rPr>
      <t>(d) Depreciation</t>
    </r>
  </si>
  <si>
    <r>
      <rPr>
        <sz val="9"/>
        <rFont val="Comic Sans MS"/>
        <family val="4"/>
      </rPr>
      <t>(e) Other expenses</t>
    </r>
  </si>
  <si>
    <r>
      <rPr>
        <sz val="9"/>
        <rFont val="Comic Sans MS"/>
        <family val="4"/>
      </rPr>
      <t>(f) Corporate Social Responsibility expenses</t>
    </r>
  </si>
  <si>
    <r>
      <rPr>
        <sz val="9"/>
        <rFont val="Comic Sans MS"/>
        <family val="4"/>
      </rPr>
      <t>Bad debts written off</t>
    </r>
  </si>
  <si>
    <r>
      <rPr>
        <sz val="9"/>
        <rFont val="Comic Sans MS"/>
        <family val="4"/>
      </rPr>
      <t>Contribution to the Policyholders' Fund</t>
    </r>
  </si>
  <si>
    <r>
      <rPr>
        <sz val="9"/>
        <rFont val="Comic Sans MS"/>
        <family val="4"/>
      </rPr>
      <t>Provisions (Other than taxation)</t>
    </r>
  </si>
  <si>
    <r>
      <rPr>
        <sz val="9"/>
        <rFont val="Comic Sans MS"/>
        <family val="4"/>
      </rPr>
      <t>(a) For diminution in the value of investment (net)</t>
    </r>
  </si>
  <si>
    <r>
      <rPr>
        <sz val="9"/>
        <rFont val="Comic Sans MS"/>
        <family val="4"/>
      </rPr>
      <t>(b) Provision for doubtful debts</t>
    </r>
  </si>
  <si>
    <r>
      <rPr>
        <sz val="9"/>
        <rFont val="Comic Sans MS"/>
        <family val="4"/>
      </rPr>
      <t>Profit / (Loss) before tax</t>
    </r>
  </si>
  <si>
    <r>
      <rPr>
        <sz val="9"/>
        <rFont val="Comic Sans MS"/>
        <family val="4"/>
      </rPr>
      <t>Provision for Taxation</t>
    </r>
  </si>
  <si>
    <t>Deferred Tax credit/(charge)</t>
  </si>
  <si>
    <r>
      <rPr>
        <sz val="9"/>
        <rFont val="Comic Sans MS"/>
        <family val="4"/>
      </rPr>
      <t>-Income Tax</t>
    </r>
  </si>
  <si>
    <r>
      <rPr>
        <sz val="9"/>
        <rFont val="Comic Sans MS"/>
        <family val="4"/>
      </rPr>
      <t>Profit / (Loss) after tax</t>
    </r>
  </si>
  <si>
    <t>APPROPRIATIONS</t>
  </si>
  <si>
    <r>
      <rPr>
        <sz val="9"/>
        <rFont val="Comic Sans MS"/>
        <family val="4"/>
      </rPr>
      <t>(a) Balance at the beginning of the period</t>
    </r>
  </si>
  <si>
    <t>(c) Proposed final/interim dividend</t>
  </si>
  <si>
    <r>
      <rPr>
        <sz val="9"/>
        <rFont val="Comic Sans MS"/>
        <family val="4"/>
      </rPr>
      <t>(d) Dividend distribution tax</t>
    </r>
  </si>
  <si>
    <r>
      <rPr>
        <sz val="9"/>
        <rFont val="Comic Sans MS"/>
        <family val="4"/>
      </rPr>
      <t>(e) Transfer to reserves / other accounts</t>
    </r>
  </si>
  <si>
    <t>Profit / (Loss) carried to the Balance Sheet</t>
  </si>
  <si>
    <r>
      <rPr>
        <b/>
        <sz val="9"/>
        <rFont val="Comic Sans MS"/>
        <family val="4"/>
      </rPr>
      <t>EARNINGS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PER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EQUITY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SHARE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(in</t>
    </r>
    <r>
      <rPr>
        <sz val="9"/>
        <rFont val="Comic Sans MS"/>
        <family val="4"/>
      </rPr>
      <t xml:space="preserve"> `</t>
    </r>
    <r>
      <rPr>
        <b/>
        <sz val="9"/>
        <rFont val="Comic Sans MS"/>
        <family val="4"/>
      </rPr>
      <t>)</t>
    </r>
  </si>
  <si>
    <r>
      <rPr>
        <sz val="9"/>
        <rFont val="Comic Sans MS"/>
        <family val="4"/>
      </rPr>
      <t>(Face Value ` 10/- per share)</t>
    </r>
  </si>
  <si>
    <t>Basic</t>
  </si>
  <si>
    <t>Diluted</t>
  </si>
  <si>
    <t>L2:PROFIT &amp; LOSS ACCOUNT</t>
  </si>
  <si>
    <t>L5:COMMISSION SCHEDULE</t>
  </si>
  <si>
    <t>L7:BENEFITS PAID SCHEDULE</t>
  </si>
  <si>
    <t>L6:Operating Expenses Schedule Related to Insurance Business</t>
  </si>
  <si>
    <t>Figures in Crores</t>
  </si>
  <si>
    <t xml:space="preserve">L38:BUSINESS ACQUISITION (Individual) Number of Policies </t>
  </si>
  <si>
    <t>Aditya Birla Sun Life Insurance Company Limited</t>
  </si>
  <si>
    <t>Aegon Life Insurance Company Limited</t>
  </si>
  <si>
    <t>Aviva Life Insurance Company India Private Limited</t>
  </si>
  <si>
    <t>Bajaj Allianz Life Insurance Company Limited</t>
  </si>
  <si>
    <t>Bharti AXA Life Insurance Private Limited</t>
  </si>
  <si>
    <t>Canara HSBC Oriental Bank of Commerce Life Insurance Company Limited</t>
  </si>
  <si>
    <t>Edelweiss Tokio Life Insurance Company Limited</t>
  </si>
  <si>
    <t>Exide life Insurance Company Limited</t>
  </si>
  <si>
    <t>Future Generali India Life Insurance Company Limited</t>
  </si>
  <si>
    <t>HDFC Life Insurance Company Limited</t>
  </si>
  <si>
    <t>ICICI Prudential Life Insurance Company Limited</t>
  </si>
  <si>
    <t>IndiaFirst Life Insurance Company Limited</t>
  </si>
  <si>
    <t>Kotak Mahindra Life Insurance Company Limited</t>
  </si>
  <si>
    <t>Max Life Insurance Company Limited</t>
  </si>
  <si>
    <t>PNB MetLife India Insurance Company Limited</t>
  </si>
  <si>
    <t>Reliance Nippon Life Insurance Company Limited</t>
  </si>
  <si>
    <t>Sahara India Life Insurance Company Limited</t>
  </si>
  <si>
    <t>SBI Life Insurance Company Limited</t>
  </si>
  <si>
    <t>Shriram Life Insurance Company Limited</t>
  </si>
  <si>
    <t>Star Union Dai-ichi Life Insurance Company Limited</t>
  </si>
  <si>
    <t>Tata AIA Life Insurance Company Limited</t>
  </si>
  <si>
    <t>Life Insurance Corporation of India</t>
  </si>
  <si>
    <t xml:space="preserve">Edelweiss Tokio Life Insurance Company Limited </t>
  </si>
  <si>
    <t>online</t>
  </si>
  <si>
    <t>(c) Others-Provision</t>
  </si>
  <si>
    <t>L-4</t>
  </si>
  <si>
    <t>(b) Reinsurance ceded</t>
  </si>
  <si>
    <t>(c) Reinsurance accepted</t>
  </si>
  <si>
    <t>SUB - TOTAL</t>
  </si>
  <si>
    <t>Income from investments</t>
  </si>
  <si>
    <t>(a) Interest, Dividends &amp; Rent - Gross</t>
  </si>
  <si>
    <t>(b) Profit on sale / redemption of investments</t>
  </si>
  <si>
    <t>(c) (Loss on sale / redemption of investments)</t>
  </si>
  <si>
    <t>(d) Transfer /Gain on revaluation / change in fair value*</t>
  </si>
  <si>
    <t>(e) Accretion of discount/(amortisation of premium) (Net)</t>
  </si>
  <si>
    <t xml:space="preserve">Other income  </t>
  </si>
  <si>
    <t>(a) Contribution from the Shareholders' A/c</t>
  </si>
  <si>
    <t>(b) Income on unclaimed amount of policyholders</t>
  </si>
  <si>
    <t>(c) Miscellaneous income</t>
  </si>
  <si>
    <t>L-5</t>
  </si>
  <si>
    <t>Operating expenses related to insurance business</t>
  </si>
  <si>
    <t>L-6</t>
  </si>
  <si>
    <t>Provision for doubtful debts</t>
  </si>
  <si>
    <t>Bad debts written off</t>
  </si>
  <si>
    <t>Provision for tax</t>
  </si>
  <si>
    <t xml:space="preserve"> - Income tax</t>
  </si>
  <si>
    <t>Provisions (other than taxation)</t>
  </si>
  <si>
    <t xml:space="preserve">(a) For diminution in the value of investments (Net) </t>
  </si>
  <si>
    <t xml:space="preserve">(b) For standard assets </t>
  </si>
  <si>
    <t>Good and Service Tax charges on charges</t>
  </si>
  <si>
    <t>Total (B)</t>
  </si>
  <si>
    <t>Benefits paid (Net)</t>
  </si>
  <si>
    <t>L-7</t>
  </si>
  <si>
    <t xml:space="preserve">Interim &amp; Terminal bonuses paid </t>
  </si>
  <si>
    <t xml:space="preserve">Change in valuation of liability in respect of life policies </t>
  </si>
  <si>
    <t>(a) Gross**</t>
  </si>
  <si>
    <t>(b) Amount ceded in Re-insurance</t>
  </si>
  <si>
    <t>(c) Amount accepted in Re-insurance</t>
  </si>
  <si>
    <t>(d) Fund reserve</t>
  </si>
  <si>
    <t>(e) Funds for discontinued policies</t>
  </si>
  <si>
    <t>Total (C)</t>
  </si>
  <si>
    <t>SURPLUS/ (DEFICIT) (D) = [(A)-(B)-(C)]</t>
  </si>
  <si>
    <t>Balance of previous year</t>
  </si>
  <si>
    <t>Balance available for appropriation</t>
  </si>
  <si>
    <t>Transfer to Shareholders' account</t>
  </si>
  <si>
    <t xml:space="preserve">Transfer to other reserves </t>
  </si>
  <si>
    <t>Balance being Funds for Future Appropriations</t>
  </si>
  <si>
    <t>a) Interim &amp; Terminal bonuses paid</t>
  </si>
  <si>
    <t>b) Allocation of bonus to policyholders</t>
  </si>
  <si>
    <t>c) Surplus shown in the revenue account</t>
  </si>
  <si>
    <t>d) Total Surplus: [(a) + (b) + (c )]</t>
  </si>
  <si>
    <t>Capital reserve</t>
  </si>
  <si>
    <t>Capital redemption reserve</t>
  </si>
  <si>
    <t>Share premium</t>
  </si>
  <si>
    <t>Revaluation reserve</t>
  </si>
  <si>
    <t>General reserves</t>
  </si>
  <si>
    <t>Less : Debit balance in Profit and Loss account, If any</t>
  </si>
  <si>
    <t>Less : Amount utililized for buy-back</t>
  </si>
  <si>
    <t>Catastrophe reserve</t>
  </si>
  <si>
    <t xml:space="preserve">Other reserves </t>
  </si>
  <si>
    <t>Balance of profit in Profit and Loss account</t>
  </si>
  <si>
    <t>Debentures / Bonds</t>
  </si>
  <si>
    <t>Banks</t>
  </si>
  <si>
    <t>Financial institutions</t>
  </si>
  <si>
    <t>Transfer to Balance Sheet being deficit in Revenue Account (Policyholders' account)</t>
  </si>
  <si>
    <t>Expenses in excess of Allowable Expense transferred to Shareholders Account</t>
  </si>
  <si>
    <t>(f) Provision for linked liabilities</t>
  </si>
  <si>
    <t>(g) Appreciation in unclaimed balances</t>
  </si>
  <si>
    <t>-</t>
  </si>
  <si>
    <t>(f) Corporate Social Responsibility expenses</t>
  </si>
  <si>
    <t>(f) Unrealised Gains</t>
  </si>
  <si>
    <t>Transfer from Linked Fund (Lapsed policies)</t>
  </si>
  <si>
    <t>L37:BUSINESS ACQUISITION THROUGH DIFFERENT CHANNELS (GROUP) Premium</t>
  </si>
  <si>
    <t>L38::BUSINESS ACQUISITION THROUGH DIFFERENT CHANNELS (Individual) Premium</t>
  </si>
  <si>
    <t xml:space="preserve">PNB MetLife India Insurance Company Limited </t>
  </si>
  <si>
    <t>Current Tax (Credit)/Charge</t>
  </si>
  <si>
    <t>Provision for current tax</t>
  </si>
  <si>
    <t>Total (E)</t>
  </si>
  <si>
    <t>(c)Others</t>
  </si>
  <si>
    <r>
      <rPr>
        <b/>
        <sz val="9"/>
        <color indexed="30"/>
        <rFont val="Comic Sans MS"/>
        <family val="4"/>
      </rPr>
      <t>Total</t>
    </r>
    <r>
      <rPr>
        <sz val="9"/>
        <color indexed="30"/>
        <rFont val="Comic Sans MS"/>
        <family val="4"/>
      </rPr>
      <t xml:space="preserve"> </t>
    </r>
    <r>
      <rPr>
        <b/>
        <sz val="9"/>
        <color indexed="30"/>
        <rFont val="Comic Sans MS"/>
        <family val="4"/>
      </rPr>
      <t>(B)</t>
    </r>
  </si>
  <si>
    <r>
      <rPr>
        <b/>
        <sz val="9"/>
        <color indexed="30"/>
        <rFont val="Comic Sans MS"/>
        <family val="4"/>
      </rPr>
      <t>Total</t>
    </r>
    <r>
      <rPr>
        <sz val="9"/>
        <color indexed="30"/>
        <rFont val="Comic Sans MS"/>
        <family val="4"/>
      </rPr>
      <t xml:space="preserve"> </t>
    </r>
    <r>
      <rPr>
        <b/>
        <sz val="9"/>
        <color indexed="30"/>
        <rFont val="Comic Sans MS"/>
        <family val="4"/>
      </rPr>
      <t>(A)</t>
    </r>
  </si>
  <si>
    <t>(h) Non Linked</t>
  </si>
  <si>
    <t>€ Transfer/Gain on revaluation/change in fair value</t>
  </si>
  <si>
    <t>Upto Q2 2021</t>
  </si>
  <si>
    <t>Pramerica Life Insurance Company Limited</t>
  </si>
  <si>
    <t>Rewards &amp; Remuneration to Agents</t>
  </si>
  <si>
    <t>Total Commission and rewards &amp; remuneration</t>
  </si>
  <si>
    <t xml:space="preserve">Sahara India Life Insurance Company Limited </t>
  </si>
  <si>
    <t>L3-Balance Sheet</t>
  </si>
  <si>
    <t xml:space="preserve">Aegon Life Insurance Company Limited </t>
  </si>
  <si>
    <t xml:space="preserve">Bharti AXA Life Insurance Private Limited </t>
  </si>
  <si>
    <t xml:space="preserve">Exide life Insurance Company Limited </t>
  </si>
  <si>
    <t xml:space="preserve">Future Generali India Life Insurance Company Limited </t>
  </si>
  <si>
    <t xml:space="preserve">HDFC Life Insurance Company Limited </t>
  </si>
  <si>
    <t xml:space="preserve">ICICI Prudential Life Insurance Company Limited </t>
  </si>
  <si>
    <t xml:space="preserve">Star Union Dai-ichi Life Insurance Company Limited </t>
  </si>
  <si>
    <t>SOURCES OF FUNDS</t>
  </si>
  <si>
    <t>Shareholders' Funds</t>
  </si>
  <si>
    <r>
      <t xml:space="preserve">Share Capital </t>
    </r>
    <r>
      <rPr>
        <b/>
        <sz val="8"/>
        <color indexed="8"/>
        <rFont val="Comic Sans MS"/>
        <family val="4"/>
      </rPr>
      <t>L8</t>
    </r>
  </si>
  <si>
    <t>Share Application Money pending Allotment</t>
  </si>
  <si>
    <r>
      <t>Reserves And Surplus</t>
    </r>
    <r>
      <rPr>
        <b/>
        <sz val="8"/>
        <color indexed="8"/>
        <rFont val="Comic Sans MS"/>
        <family val="4"/>
      </rPr>
      <t xml:space="preserve"> L10</t>
    </r>
  </si>
  <si>
    <t>Credit/(Debit) Fair Value Change Account (Net)</t>
  </si>
  <si>
    <t>Deffered Tax Liability</t>
  </si>
  <si>
    <t>Sub-Total</t>
  </si>
  <si>
    <r>
      <t xml:space="preserve">Borrowings </t>
    </r>
    <r>
      <rPr>
        <b/>
        <sz val="8"/>
        <color indexed="8"/>
        <rFont val="Comic Sans MS"/>
        <family val="4"/>
      </rPr>
      <t>L11</t>
    </r>
  </si>
  <si>
    <t>Policyholders' Funds:</t>
  </si>
  <si>
    <t>Revaluation Reserve-Investment Property</t>
  </si>
  <si>
    <t>Policy Liabilities</t>
  </si>
  <si>
    <t>Surplus on Policy Holder's  A/c</t>
  </si>
  <si>
    <t>Linked</t>
  </si>
  <si>
    <t>Non Linked</t>
  </si>
  <si>
    <t>Insurance Reserves</t>
  </si>
  <si>
    <t>Linked Liabilities</t>
  </si>
  <si>
    <t>Fair value change</t>
  </si>
  <si>
    <t>Provision For Linked Liabilities</t>
  </si>
  <si>
    <t>Credit/(Debit) Fair Value Change A/c (Linked)Change Account (Net)</t>
  </si>
  <si>
    <t>Non Linked Liabilities</t>
  </si>
  <si>
    <t>Funds for Discontinued Policies</t>
  </si>
  <si>
    <t xml:space="preserve">   Discontinued on account of non-payment of premium</t>
  </si>
  <si>
    <t xml:space="preserve">   Others</t>
  </si>
  <si>
    <t>Credit/(Debit) Fair Value Change Account (Linked)</t>
  </si>
  <si>
    <t>Total Linked Liabilities</t>
  </si>
  <si>
    <t>Funds For Future Appropriations</t>
  </si>
  <si>
    <t>TOTAL</t>
  </si>
  <si>
    <t>APPLICATION OF FUNDS</t>
  </si>
  <si>
    <t>Investments</t>
  </si>
  <si>
    <r>
      <t xml:space="preserve">Shareholders' </t>
    </r>
    <r>
      <rPr>
        <b/>
        <sz val="8"/>
        <color indexed="8"/>
        <rFont val="Comic Sans MS"/>
        <family val="4"/>
      </rPr>
      <t xml:space="preserve"> L12</t>
    </r>
  </si>
  <si>
    <r>
      <t xml:space="preserve">Policyholders'  </t>
    </r>
    <r>
      <rPr>
        <b/>
        <sz val="8"/>
        <color indexed="8"/>
        <rFont val="Comic Sans MS"/>
        <family val="4"/>
      </rPr>
      <t>L13</t>
    </r>
  </si>
  <si>
    <r>
      <t xml:space="preserve">Assets Held To Cover Linked Liabilities </t>
    </r>
    <r>
      <rPr>
        <b/>
        <sz val="8"/>
        <color indexed="8"/>
        <rFont val="Comic Sans MS"/>
        <family val="4"/>
      </rPr>
      <t>L14</t>
    </r>
  </si>
  <si>
    <r>
      <t>Loans</t>
    </r>
    <r>
      <rPr>
        <b/>
        <sz val="8"/>
        <color indexed="8"/>
        <rFont val="Comic Sans MS"/>
        <family val="4"/>
      </rPr>
      <t xml:space="preserve"> L15</t>
    </r>
  </si>
  <si>
    <r>
      <t xml:space="preserve">Fixed Assets </t>
    </r>
    <r>
      <rPr>
        <b/>
        <sz val="8"/>
        <color indexed="8"/>
        <rFont val="Comic Sans MS"/>
        <family val="4"/>
      </rPr>
      <t>L 16</t>
    </r>
  </si>
  <si>
    <t>Current Assets</t>
  </si>
  <si>
    <t>Deferred Tax Assets</t>
  </si>
  <si>
    <r>
      <t xml:space="preserve">Cash and Bank Balances </t>
    </r>
    <r>
      <rPr>
        <b/>
        <sz val="8"/>
        <color indexed="8"/>
        <rFont val="Comic Sans MS"/>
        <family val="4"/>
      </rPr>
      <t>L17</t>
    </r>
  </si>
  <si>
    <t>Advances And Other Assets L18</t>
  </si>
  <si>
    <t>Sub-Total (A)</t>
  </si>
  <si>
    <r>
      <t xml:space="preserve">Current Liabilities </t>
    </r>
    <r>
      <rPr>
        <b/>
        <sz val="8"/>
        <color indexed="8"/>
        <rFont val="Comic Sans MS"/>
        <family val="4"/>
      </rPr>
      <t>L19</t>
    </r>
  </si>
  <si>
    <r>
      <t xml:space="preserve">Provisions </t>
    </r>
    <r>
      <rPr>
        <b/>
        <sz val="8"/>
        <color indexed="8"/>
        <rFont val="Comic Sans MS"/>
        <family val="4"/>
      </rPr>
      <t>L20</t>
    </r>
  </si>
  <si>
    <t>Sub-Total (B)</t>
  </si>
  <si>
    <t>Net Current Assets (C) = (A - B)</t>
  </si>
  <si>
    <t xml:space="preserve">Miscellaneous Expenditure </t>
  </si>
  <si>
    <t>(To the extent not written off or adjusted)</t>
  </si>
  <si>
    <t>Debit Balance of Profit and Loss Account</t>
  </si>
  <si>
    <t>Deficit in the Revenue Account (Policyholders' Account)</t>
  </si>
  <si>
    <t>CONTINGENT LIABILITIES</t>
  </si>
  <si>
    <t>Partly paid - up investments</t>
  </si>
  <si>
    <t>Claims, other than against policies, not acknowledged as debts by the Company</t>
  </si>
  <si>
    <t>Underwriting commitments outstanding</t>
  </si>
  <si>
    <t>Guarantees given by or on behalf of the Company</t>
  </si>
  <si>
    <t xml:space="preserve">Statutory demands/ liabilities in dispute, not provided for </t>
  </si>
  <si>
    <t>Reinsurance obligations to the extent not provided for in accounts</t>
  </si>
  <si>
    <t>In relation to Claims against policies</t>
  </si>
  <si>
    <t>SECURITY WISE CLASSIFICATION</t>
  </si>
  <si>
    <t>Secured</t>
  </si>
  <si>
    <t>(a)   On mortgage of property</t>
  </si>
  <si>
    <t xml:space="preserve">          (aa)   In India</t>
  </si>
  <si>
    <t xml:space="preserve">          (bb)  Outside India</t>
  </si>
  <si>
    <t>(b)  On Shares, Bonds, Govt Securities etc</t>
  </si>
  <si>
    <t>(c)  Loans against policies</t>
  </si>
  <si>
    <t>(d)  Others</t>
  </si>
  <si>
    <t>Unsecured</t>
  </si>
  <si>
    <t>Provision for Doubtful Debts</t>
  </si>
  <si>
    <t>BORROWER - WISE CLASSIFICATION</t>
  </si>
  <si>
    <t>(a)  Central and State Governments</t>
  </si>
  <si>
    <t>(b)  Banks and Financial institutions</t>
  </si>
  <si>
    <t>(c )  Subsidiaries</t>
  </si>
  <si>
    <t>(d)  Companies</t>
  </si>
  <si>
    <t>(e)   Loans against policies</t>
  </si>
  <si>
    <t>(f)   Others</t>
  </si>
  <si>
    <t>PERFORMANCE - WISE CLASSIFICATION</t>
  </si>
  <si>
    <t>(a)  Loans classified as standard</t>
  </si>
  <si>
    <t xml:space="preserve">        (aa)  In India</t>
  </si>
  <si>
    <t xml:space="preserve">        (bb) Outside India</t>
  </si>
  <si>
    <t>Provision for Standard Loans</t>
  </si>
  <si>
    <t>(b)  Non - standard loans less provisions</t>
  </si>
  <si>
    <t xml:space="preserve">        (bb)  Outside India</t>
  </si>
  <si>
    <t>Provision for Non Standard Loans</t>
  </si>
  <si>
    <t>MATURITY - WISE CLASSIFICATION</t>
  </si>
  <si>
    <t>(a)  Short Term</t>
  </si>
  <si>
    <t xml:space="preserve">        In India</t>
  </si>
  <si>
    <t xml:space="preserve">        Outside India</t>
  </si>
  <si>
    <t>Provision for Short Term</t>
  </si>
  <si>
    <t>(b)  Long Term</t>
  </si>
  <si>
    <t>Provision for Long Term</t>
  </si>
  <si>
    <t>Upto Q2 2122</t>
  </si>
  <si>
    <t>AS at 30.09.2021</t>
  </si>
  <si>
    <t>As at 30th September,2021</t>
  </si>
  <si>
    <t>Audited as at 30th September 2021</t>
  </si>
  <si>
    <t>Online (Through Company Website.</t>
  </si>
  <si>
    <t>Direct Business:</t>
  </si>
  <si>
    <t>Ageas Federal Life Insurance Company Limited</t>
  </si>
  <si>
    <t xml:space="preserve">Ageas Federal Life Insurance Company Limited </t>
  </si>
  <si>
    <t>(in Lakh)</t>
  </si>
  <si>
    <t>(in Lakhs)</t>
  </si>
  <si>
    <t>Form L-15-Loans Schedule  (` in Lakhs')</t>
  </si>
  <si>
    <t>Figures in 'Lakhs'</t>
  </si>
  <si>
    <t>Form L-11 -Borrowings Schedule  (Amount in 'Lakhs')</t>
  </si>
  <si>
    <t>L1:REVENUE ACCOUNT Figures in 'Lakhs'</t>
  </si>
  <si>
    <t>(Amount in 'Lakhs)</t>
  </si>
  <si>
    <t>Form L-10-Reserves and Surplus Schedule(Amount in 'Lakhs)</t>
  </si>
  <si>
    <t>Audited as at 30th September 2022</t>
  </si>
  <si>
    <t>Upto Q2 2223</t>
  </si>
  <si>
    <t>AS at 30.09.2022</t>
  </si>
  <si>
    <t>As at 30th September,2022</t>
  </si>
  <si>
    <t>(b) Interim/Final dividend paid during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</si>
</sst>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#0"/>
  </numFmts>
  <fonts count="56" x14ac:knownFonts="1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b/>
      <sz val="10"/>
      <name val="Comic Sans MS"/>
      <family val="4"/>
    </font>
    <font>
      <b/>
      <sz val="8"/>
      <name val="Comic Sans MS"/>
      <family val="4"/>
    </font>
    <font>
      <sz val="9"/>
      <name val="Comic Sans MS"/>
      <family val="4"/>
    </font>
    <font>
      <sz val="10"/>
      <name val="Comic Sans MS"/>
      <family val="4"/>
    </font>
    <font>
      <b/>
      <i/>
      <sz val="9"/>
      <name val="Comic Sans MS"/>
      <family val="4"/>
    </font>
    <font>
      <sz val="11"/>
      <name val="Comic Sans MS"/>
      <family val="4"/>
    </font>
    <font>
      <b/>
      <sz val="9"/>
      <color indexed="30"/>
      <name val="Comic Sans MS"/>
      <family val="4"/>
    </font>
    <font>
      <sz val="9"/>
      <color indexed="30"/>
      <name val="Comic Sans MS"/>
      <family val="4"/>
    </font>
    <font>
      <b/>
      <sz val="8"/>
      <color indexed="8"/>
      <name val="Comic Sans MS"/>
      <family val="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b/>
      <sz val="9"/>
      <color theme="1"/>
      <name val="Comic Sans MS"/>
      <family val="4"/>
    </font>
    <font>
      <sz val="9"/>
      <color rgb="FF000000"/>
      <name val="Comic Sans MS"/>
      <family val="4"/>
    </font>
    <font>
      <i/>
      <sz val="9"/>
      <color theme="1"/>
      <name val="Comic Sans MS"/>
      <family val="4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9"/>
      <color rgb="FF000000"/>
      <name val="Comic Sans MS"/>
      <family val="4"/>
    </font>
    <font>
      <b/>
      <sz val="8"/>
      <color theme="1"/>
      <name val="Comic Sans MS"/>
      <family val="4"/>
    </font>
    <font>
      <sz val="8"/>
      <color rgb="FF000000"/>
      <name val="Comic Sans MS"/>
      <family val="4"/>
    </font>
    <font>
      <sz val="8"/>
      <color theme="1"/>
      <name val="Comic Sans MS"/>
      <family val="4"/>
    </font>
    <font>
      <b/>
      <sz val="8"/>
      <color rgb="FF000000"/>
      <name val="Comic Sans MS"/>
      <family val="4"/>
    </font>
    <font>
      <b/>
      <sz val="9"/>
      <color theme="4"/>
      <name val="Comic Sans MS"/>
      <family val="4"/>
    </font>
    <font>
      <sz val="9"/>
      <color theme="4"/>
      <name val="Comic Sans MS"/>
      <family val="4"/>
    </font>
    <font>
      <b/>
      <sz val="8"/>
      <color theme="4"/>
      <name val="Comic Sans MS"/>
      <family val="4"/>
    </font>
    <font>
      <sz val="11"/>
      <color theme="4"/>
      <name val="Comic Sans MS"/>
      <family val="4"/>
    </font>
    <font>
      <b/>
      <sz val="10"/>
      <color theme="4"/>
      <name val="Comic Sans MS"/>
      <family val="4"/>
    </font>
    <font>
      <b/>
      <sz val="11"/>
      <color theme="4"/>
      <name val="Comic Sans MS"/>
      <family val="4"/>
    </font>
    <font>
      <b/>
      <sz val="10"/>
      <color rgb="FF000000"/>
      <name val="Comic Sans MS"/>
      <family val="4"/>
    </font>
    <font>
      <sz val="9"/>
      <color theme="8"/>
      <name val="Comic Sans MS"/>
      <family val="4"/>
    </font>
    <font>
      <b/>
      <sz val="9"/>
      <color theme="8"/>
      <name val="Comic Sans MS"/>
      <family val="4"/>
    </font>
    <font>
      <sz val="11"/>
      <color theme="8"/>
      <name val="Comic Sans MS"/>
      <family val="4"/>
    </font>
    <font>
      <sz val="11"/>
      <color theme="8"/>
      <name val="Calibri"/>
      <family val="2"/>
      <scheme val="minor"/>
    </font>
    <font>
      <b/>
      <sz val="8"/>
      <color theme="8"/>
      <name val="Comic Sans MS"/>
      <family val="4"/>
    </font>
    <font>
      <sz val="8"/>
      <color theme="8"/>
      <name val="Comic Sans MS"/>
      <family val="4"/>
    </font>
    <font>
      <b/>
      <sz val="11"/>
      <color theme="8"/>
      <name val="Comic Sans MS"/>
      <family val="4"/>
    </font>
    <font>
      <b/>
      <sz val="10"/>
      <color theme="8"/>
      <name val="Comic Sans MS"/>
      <family val="4"/>
    </font>
    <font>
      <b/>
      <sz val="9"/>
      <color rgb="FF0070C0"/>
      <name val="Comic Sans MS"/>
      <family val="4"/>
    </font>
    <font>
      <sz val="9"/>
      <color rgb="FF0070C0"/>
      <name val="Comic Sans MS"/>
      <family val="4"/>
    </font>
    <font>
      <b/>
      <sz val="8"/>
      <color rgb="FF0070C0"/>
      <name val="Comic Sans MS"/>
      <family val="4"/>
    </font>
    <font>
      <b/>
      <sz val="11"/>
      <color rgb="FF0070C0"/>
      <name val="Comic Sans MS"/>
      <family val="4"/>
    </font>
    <font>
      <b/>
      <sz val="10"/>
      <color rgb="FF0070C0"/>
      <name val="Comic Sans MS"/>
      <family val="4"/>
    </font>
    <font>
      <b/>
      <sz val="9"/>
      <color rgb="FFFF0000"/>
      <name val="Comic Sans MS"/>
      <family val="4"/>
    </font>
    <font>
      <sz val="10"/>
      <color rgb="FF000000"/>
      <name val="Comic Sans MS"/>
      <family val="4"/>
    </font>
    <font>
      <sz val="8"/>
      <color rgb="FFFF0000"/>
      <name val="Comic Sans MS"/>
      <family val="4"/>
    </font>
    <font>
      <b/>
      <sz val="14"/>
      <color theme="1"/>
      <name val="Comic Sans MS"/>
      <family val="4"/>
    </font>
    <font>
      <b/>
      <sz val="11"/>
      <color theme="1"/>
      <name val="Comic Sans MS"/>
      <family val="4"/>
    </font>
    <font>
      <i/>
      <sz val="8"/>
      <color rgb="FF000000"/>
      <name val="Comic Sans MS"/>
      <family val="4"/>
    </font>
    <font>
      <sz val="11"/>
      <color rgb="FFFF0000"/>
      <name val="Comic Sans MS"/>
      <family val="4"/>
    </font>
    <font>
      <b/>
      <i/>
      <sz val="9"/>
      <color theme="8"/>
      <name val="Comic Sans MS"/>
      <family val="4"/>
    </font>
    <font>
      <b/>
      <sz val="10"/>
      <color theme="1"/>
      <name val="Arial"/>
      <family val="2"/>
    </font>
    <font>
      <sz val="11"/>
      <color rgb="FF002060"/>
      <name val="Comic Sans MS"/>
      <family val="4"/>
    </font>
    <font>
      <sz val="11"/>
      <color rgb="FF0070C0"/>
      <name val="Comic Sans MS"/>
      <family val="4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119">
    <xf numFmtId="0" fontId="0" fillId="0" borderId="0" xfId="0"/>
    <xf numFmtId="2" fontId="13" fillId="0" borderId="1" xfId="0" applyNumberFormat="1" applyFont="1" applyBorder="1" applyAlignment="1">
      <alignment horizontal="left"/>
    </xf>
    <xf numFmtId="2" fontId="13" fillId="0" borderId="2" xfId="0" applyNumberFormat="1" applyFont="1" applyBorder="1" applyAlignment="1">
      <alignment horizontal="left"/>
    </xf>
    <xf numFmtId="2" fontId="13" fillId="0" borderId="3" xfId="0" applyNumberFormat="1" applyFont="1" applyBorder="1" applyAlignment="1">
      <alignment horizontal="left"/>
    </xf>
    <xf numFmtId="2" fontId="14" fillId="0" borderId="1" xfId="0" applyNumberFormat="1" applyFont="1" applyBorder="1" applyAlignment="1">
      <alignment horizontal="left"/>
    </xf>
    <xf numFmtId="2" fontId="14" fillId="0" borderId="2" xfId="0" applyNumberFormat="1" applyFont="1" applyBorder="1" applyAlignment="1">
      <alignment horizontal="left"/>
    </xf>
    <xf numFmtId="2" fontId="14" fillId="0" borderId="3" xfId="0" applyNumberFormat="1" applyFont="1" applyBorder="1" applyAlignment="1">
      <alignment horizontal="left"/>
    </xf>
    <xf numFmtId="0" fontId="13" fillId="0" borderId="0" xfId="0" applyFont="1" applyAlignment="1">
      <alignment horizontal="left"/>
    </xf>
    <xf numFmtId="1" fontId="14" fillId="0" borderId="1" xfId="0" applyNumberFormat="1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left" vertical="center"/>
    </xf>
    <xf numFmtId="3" fontId="15" fillId="0" borderId="4" xfId="0" applyNumberFormat="1" applyFont="1" applyBorder="1" applyAlignment="1">
      <alignment horizontal="left"/>
    </xf>
    <xf numFmtId="1" fontId="13" fillId="0" borderId="2" xfId="0" applyNumberFormat="1" applyFont="1" applyBorder="1" applyAlignment="1">
      <alignment horizontal="left"/>
    </xf>
    <xf numFmtId="1" fontId="13" fillId="0" borderId="1" xfId="0" applyNumberFormat="1" applyFont="1" applyBorder="1" applyAlignment="1">
      <alignment horizontal="left"/>
    </xf>
    <xf numFmtId="2" fontId="13" fillId="0" borderId="4" xfId="0" applyNumberFormat="1" applyFont="1" applyBorder="1" applyAlignment="1">
      <alignment horizontal="left"/>
    </xf>
    <xf numFmtId="1" fontId="13" fillId="0" borderId="4" xfId="0" applyNumberFormat="1" applyFont="1" applyBorder="1" applyAlignment="1">
      <alignment horizontal="left"/>
    </xf>
    <xf numFmtId="1" fontId="13" fillId="0" borderId="3" xfId="0" applyNumberFormat="1" applyFont="1" applyBorder="1" applyAlignment="1">
      <alignment horizontal="left"/>
    </xf>
    <xf numFmtId="1" fontId="13" fillId="0" borderId="2" xfId="1" applyNumberFormat="1" applyFont="1" applyBorder="1" applyAlignment="1">
      <alignment horizontal="left"/>
    </xf>
    <xf numFmtId="1" fontId="14" fillId="0" borderId="4" xfId="1" applyNumberFormat="1" applyFont="1" applyBorder="1" applyAlignment="1">
      <alignment horizontal="left"/>
    </xf>
    <xf numFmtId="1" fontId="14" fillId="0" borderId="2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2" fontId="14" fillId="0" borderId="4" xfId="0" applyNumberFormat="1" applyFont="1" applyBorder="1" applyAlignment="1">
      <alignment horizontal="left"/>
    </xf>
    <xf numFmtId="1" fontId="14" fillId="0" borderId="4" xfId="0" applyNumberFormat="1" applyFont="1" applyBorder="1" applyAlignment="1">
      <alignment horizontal="left"/>
    </xf>
    <xf numFmtId="1" fontId="14" fillId="0" borderId="3" xfId="0" applyNumberFormat="1" applyFont="1" applyBorder="1" applyAlignment="1">
      <alignment horizontal="left"/>
    </xf>
    <xf numFmtId="1" fontId="13" fillId="0" borderId="0" xfId="0" applyNumberFormat="1" applyFont="1" applyAlignment="1">
      <alignment horizontal="left"/>
    </xf>
    <xf numFmtId="2" fontId="13" fillId="0" borderId="5" xfId="0" applyNumberFormat="1" applyFont="1" applyBorder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6" xfId="0" applyFont="1" applyBorder="1" applyAlignment="1">
      <alignment horizontal="left"/>
    </xf>
    <xf numFmtId="1" fontId="13" fillId="0" borderId="7" xfId="0" applyNumberFormat="1" applyFont="1" applyBorder="1" applyAlignment="1">
      <alignment horizontal="left" vertical="center"/>
    </xf>
    <xf numFmtId="1" fontId="13" fillId="0" borderId="8" xfId="0" applyNumberFormat="1" applyFont="1" applyBorder="1" applyAlignment="1">
      <alignment horizontal="left"/>
    </xf>
    <xf numFmtId="1" fontId="13" fillId="0" borderId="9" xfId="0" applyNumberFormat="1" applyFont="1" applyBorder="1" applyAlignment="1">
      <alignment horizontal="left"/>
    </xf>
    <xf numFmtId="1" fontId="13" fillId="0" borderId="7" xfId="0" applyNumberFormat="1" applyFont="1" applyBorder="1" applyAlignment="1">
      <alignment horizontal="left"/>
    </xf>
    <xf numFmtId="2" fontId="13" fillId="0" borderId="8" xfId="0" applyNumberFormat="1" applyFont="1" applyBorder="1" applyAlignment="1">
      <alignment horizontal="left"/>
    </xf>
    <xf numFmtId="2" fontId="13" fillId="0" borderId="9" xfId="0" applyNumberFormat="1" applyFont="1" applyBorder="1" applyAlignment="1">
      <alignment horizontal="left"/>
    </xf>
    <xf numFmtId="1" fontId="13" fillId="0" borderId="5" xfId="1" applyNumberFormat="1" applyFont="1" applyBorder="1" applyAlignment="1">
      <alignment horizontal="left"/>
    </xf>
    <xf numFmtId="1" fontId="14" fillId="0" borderId="10" xfId="0" applyNumberFormat="1" applyFont="1" applyBorder="1" applyAlignment="1">
      <alignment horizontal="left"/>
    </xf>
    <xf numFmtId="2" fontId="13" fillId="0" borderId="0" xfId="0" applyNumberFormat="1" applyFont="1" applyAlignment="1">
      <alignment horizontal="left"/>
    </xf>
    <xf numFmtId="1" fontId="13" fillId="0" borderId="1" xfId="0" applyNumberFormat="1" applyFont="1" applyBorder="1" applyAlignment="1">
      <alignment horizontal="left" vertical="center"/>
    </xf>
    <xf numFmtId="1" fontId="13" fillId="0" borderId="1" xfId="2" applyNumberFormat="1" applyFont="1" applyBorder="1" applyAlignment="1">
      <alignment horizontal="left"/>
    </xf>
    <xf numFmtId="1" fontId="14" fillId="0" borderId="12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2" fontId="18" fillId="0" borderId="1" xfId="0" applyNumberFormat="1" applyFont="1" applyBorder="1" applyAlignment="1">
      <alignment horizontal="left"/>
    </xf>
    <xf numFmtId="2" fontId="18" fillId="0" borderId="2" xfId="0" applyNumberFormat="1" applyFont="1" applyBorder="1" applyAlignment="1">
      <alignment horizontal="left"/>
    </xf>
    <xf numFmtId="2" fontId="18" fillId="0" borderId="13" xfId="0" applyNumberFormat="1" applyFont="1" applyBorder="1" applyAlignment="1">
      <alignment horizontal="left"/>
    </xf>
    <xf numFmtId="2" fontId="18" fillId="0" borderId="3" xfId="0" applyNumberFormat="1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2" fontId="18" fillId="0" borderId="4" xfId="0" applyNumberFormat="1" applyFont="1" applyBorder="1" applyAlignment="1">
      <alignment horizontal="left"/>
    </xf>
    <xf numFmtId="2" fontId="19" fillId="0" borderId="4" xfId="0" applyNumberFormat="1" applyFont="1" applyBorder="1" applyAlignment="1">
      <alignment horizontal="left"/>
    </xf>
    <xf numFmtId="2" fontId="18" fillId="0" borderId="1" xfId="1" applyNumberFormat="1" applyFont="1" applyBorder="1" applyAlignment="1">
      <alignment horizontal="left"/>
    </xf>
    <xf numFmtId="2" fontId="19" fillId="0" borderId="1" xfId="0" applyNumberFormat="1" applyFont="1" applyBorder="1" applyAlignment="1">
      <alignment horizontal="left"/>
    </xf>
    <xf numFmtId="2" fontId="14" fillId="0" borderId="1" xfId="0" applyNumberFormat="1" applyFont="1" applyBorder="1" applyAlignment="1">
      <alignment horizontal="left" vertical="center"/>
    </xf>
    <xf numFmtId="2" fontId="19" fillId="0" borderId="2" xfId="0" applyNumberFormat="1" applyFont="1" applyBorder="1" applyAlignment="1">
      <alignment horizontal="left"/>
    </xf>
    <xf numFmtId="2" fontId="17" fillId="0" borderId="0" xfId="0" applyNumberFormat="1" applyFont="1" applyAlignment="1">
      <alignment horizontal="left"/>
    </xf>
    <xf numFmtId="2" fontId="14" fillId="0" borderId="1" xfId="2" applyNumberFormat="1" applyFont="1" applyBorder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/>
    <xf numFmtId="0" fontId="21" fillId="0" borderId="0" xfId="0" applyFont="1" applyAlignment="1">
      <alignment horizontal="left"/>
    </xf>
    <xf numFmtId="2" fontId="14" fillId="0" borderId="3" xfId="0" applyNumberFormat="1" applyFont="1" applyBorder="1" applyAlignment="1">
      <alignment horizontal="left" vertical="center"/>
    </xf>
    <xf numFmtId="2" fontId="14" fillId="0" borderId="13" xfId="0" applyNumberFormat="1" applyFont="1" applyBorder="1" applyAlignment="1">
      <alignment horizontal="left"/>
    </xf>
    <xf numFmtId="2" fontId="14" fillId="0" borderId="1" xfId="1" applyNumberFormat="1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17" fillId="0" borderId="0" xfId="0" applyFont="1"/>
    <xf numFmtId="0" fontId="22" fillId="0" borderId="15" xfId="0" applyFont="1" applyBorder="1" applyAlignment="1">
      <alignment horizontal="left"/>
    </xf>
    <xf numFmtId="1" fontId="21" fillId="0" borderId="1" xfId="0" applyNumberFormat="1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0" xfId="0" applyFont="1" applyAlignment="1">
      <alignment horizontal="left"/>
    </xf>
    <xf numFmtId="2" fontId="23" fillId="0" borderId="3" xfId="0" applyNumberFormat="1" applyFont="1" applyBorder="1" applyAlignment="1">
      <alignment horizontal="left" vertical="center"/>
    </xf>
    <xf numFmtId="2" fontId="23" fillId="0" borderId="1" xfId="0" applyNumberFormat="1" applyFont="1" applyBorder="1" applyAlignment="1">
      <alignment horizontal="left"/>
    </xf>
    <xf numFmtId="2" fontId="23" fillId="0" borderId="2" xfId="0" applyNumberFormat="1" applyFont="1" applyBorder="1" applyAlignment="1">
      <alignment horizontal="left"/>
    </xf>
    <xf numFmtId="2" fontId="23" fillId="0" borderId="3" xfId="0" applyNumberFormat="1" applyFont="1" applyBorder="1" applyAlignment="1">
      <alignment horizontal="left"/>
    </xf>
    <xf numFmtId="2" fontId="23" fillId="0" borderId="13" xfId="0" applyNumberFormat="1" applyFont="1" applyBorder="1" applyAlignment="1">
      <alignment horizontal="left"/>
    </xf>
    <xf numFmtId="1" fontId="23" fillId="0" borderId="1" xfId="0" applyNumberFormat="1" applyFont="1" applyBorder="1" applyAlignment="1">
      <alignment horizontal="left"/>
    </xf>
    <xf numFmtId="1" fontId="23" fillId="0" borderId="2" xfId="0" applyNumberFormat="1" applyFont="1" applyBorder="1" applyAlignment="1">
      <alignment horizontal="left"/>
    </xf>
    <xf numFmtId="1" fontId="23" fillId="0" borderId="3" xfId="0" applyNumberFormat="1" applyFont="1" applyBorder="1" applyAlignment="1">
      <alignment horizontal="left"/>
    </xf>
    <xf numFmtId="2" fontId="23" fillId="0" borderId="1" xfId="2" applyNumberFormat="1" applyFont="1" applyBorder="1" applyAlignment="1">
      <alignment horizontal="left"/>
    </xf>
    <xf numFmtId="2" fontId="23" fillId="0" borderId="3" xfId="2" applyNumberFormat="1" applyFont="1" applyBorder="1" applyAlignment="1">
      <alignment horizontal="left"/>
    </xf>
    <xf numFmtId="2" fontId="21" fillId="0" borderId="1" xfId="0" applyNumberFormat="1" applyFont="1" applyBorder="1" applyAlignment="1">
      <alignment horizontal="left"/>
    </xf>
    <xf numFmtId="2" fontId="21" fillId="0" borderId="13" xfId="0" applyNumberFormat="1" applyFont="1" applyBorder="1" applyAlignment="1">
      <alignment horizontal="left"/>
    </xf>
    <xf numFmtId="2" fontId="21" fillId="0" borderId="16" xfId="0" applyNumberFormat="1" applyFont="1" applyBorder="1" applyAlignment="1">
      <alignment horizontal="left"/>
    </xf>
    <xf numFmtId="2" fontId="21" fillId="0" borderId="2" xfId="0" applyNumberFormat="1" applyFont="1" applyBorder="1" applyAlignment="1">
      <alignment horizontal="left"/>
    </xf>
    <xf numFmtId="1" fontId="23" fillId="0" borderId="3" xfId="0" applyNumberFormat="1" applyFont="1" applyBorder="1" applyAlignment="1">
      <alignment horizontal="left" vertical="center"/>
    </xf>
    <xf numFmtId="1" fontId="23" fillId="0" borderId="13" xfId="0" applyNumberFormat="1" applyFont="1" applyBorder="1" applyAlignment="1">
      <alignment horizontal="left"/>
    </xf>
    <xf numFmtId="1" fontId="23" fillId="0" borderId="0" xfId="0" applyNumberFormat="1" applyFont="1" applyAlignment="1">
      <alignment horizontal="left"/>
    </xf>
    <xf numFmtId="1" fontId="23" fillId="0" borderId="17" xfId="0" applyNumberFormat="1" applyFont="1" applyBorder="1" applyAlignment="1">
      <alignment horizontal="left"/>
    </xf>
    <xf numFmtId="1" fontId="23" fillId="0" borderId="6" xfId="0" applyNumberFormat="1" applyFont="1" applyBorder="1" applyAlignment="1">
      <alignment horizontal="left"/>
    </xf>
    <xf numFmtId="1" fontId="23" fillId="0" borderId="3" xfId="2" applyNumberFormat="1" applyFont="1" applyBorder="1" applyAlignment="1">
      <alignment horizontal="left"/>
    </xf>
    <xf numFmtId="1" fontId="23" fillId="0" borderId="1" xfId="1" applyNumberFormat="1" applyFont="1" applyBorder="1" applyAlignment="1">
      <alignment horizontal="left"/>
    </xf>
    <xf numFmtId="1" fontId="23" fillId="0" borderId="2" xfId="1" applyNumberFormat="1" applyFont="1" applyBorder="1" applyAlignment="1">
      <alignment horizontal="left"/>
    </xf>
    <xf numFmtId="1" fontId="23" fillId="0" borderId="3" xfId="1" applyNumberFormat="1" applyFont="1" applyBorder="1" applyAlignment="1">
      <alignment horizontal="left"/>
    </xf>
    <xf numFmtId="1" fontId="21" fillId="0" borderId="1" xfId="0" applyNumberFormat="1" applyFont="1" applyBorder="1" applyAlignment="1">
      <alignment horizontal="left"/>
    </xf>
    <xf numFmtId="1" fontId="21" fillId="0" borderId="15" xfId="0" applyNumberFormat="1" applyFont="1" applyBorder="1" applyAlignment="1">
      <alignment horizontal="left"/>
    </xf>
    <xf numFmtId="1" fontId="21" fillId="0" borderId="4" xfId="0" applyNumberFormat="1" applyFont="1" applyBorder="1" applyAlignment="1">
      <alignment horizontal="left" vertical="center"/>
    </xf>
    <xf numFmtId="1" fontId="21" fillId="0" borderId="2" xfId="0" applyNumberFormat="1" applyFont="1" applyBorder="1" applyAlignment="1">
      <alignment horizontal="left"/>
    </xf>
    <xf numFmtId="1" fontId="21" fillId="0" borderId="3" xfId="0" applyNumberFormat="1" applyFont="1" applyBorder="1" applyAlignment="1">
      <alignment horizontal="left"/>
    </xf>
    <xf numFmtId="1" fontId="21" fillId="0" borderId="13" xfId="0" applyNumberFormat="1" applyFont="1" applyBorder="1" applyAlignment="1">
      <alignment horizontal="left"/>
    </xf>
    <xf numFmtId="1" fontId="17" fillId="0" borderId="0" xfId="0" applyNumberFormat="1" applyFont="1" applyAlignment="1">
      <alignment horizontal="left"/>
    </xf>
    <xf numFmtId="2" fontId="23" fillId="0" borderId="1" xfId="0" applyNumberFormat="1" applyFont="1" applyBorder="1" applyAlignment="1">
      <alignment horizontal="left" vertical="center"/>
    </xf>
    <xf numFmtId="2" fontId="23" fillId="0" borderId="4" xfId="0" applyNumberFormat="1" applyFont="1" applyBorder="1" applyAlignment="1">
      <alignment horizontal="left"/>
    </xf>
    <xf numFmtId="1" fontId="23" fillId="0" borderId="4" xfId="0" applyNumberFormat="1" applyFont="1" applyBorder="1" applyAlignment="1">
      <alignment horizontal="left"/>
    </xf>
    <xf numFmtId="1" fontId="21" fillId="0" borderId="4" xfId="0" applyNumberFormat="1" applyFont="1" applyBorder="1" applyAlignment="1">
      <alignment horizontal="left"/>
    </xf>
    <xf numFmtId="1" fontId="21" fillId="0" borderId="18" xfId="0" applyNumberFormat="1" applyFont="1" applyBorder="1" applyAlignment="1">
      <alignment horizontal="left"/>
    </xf>
    <xf numFmtId="1" fontId="21" fillId="0" borderId="16" xfId="0" applyNumberFormat="1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2" fontId="21" fillId="0" borderId="1" xfId="0" applyNumberFormat="1" applyFont="1" applyBorder="1" applyAlignment="1">
      <alignment horizontal="left" vertical="center"/>
    </xf>
    <xf numFmtId="2" fontId="21" fillId="0" borderId="4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23" fillId="0" borderId="19" xfId="0" applyNumberFormat="1" applyFont="1" applyBorder="1" applyAlignment="1">
      <alignment horizontal="left" vertical="center"/>
    </xf>
    <xf numFmtId="2" fontId="23" fillId="0" borderId="20" xfId="0" applyNumberFormat="1" applyFont="1" applyBorder="1" applyAlignment="1">
      <alignment horizontal="left"/>
    </xf>
    <xf numFmtId="2" fontId="23" fillId="0" borderId="21" xfId="0" applyNumberFormat="1" applyFont="1" applyBorder="1" applyAlignment="1">
      <alignment horizontal="left"/>
    </xf>
    <xf numFmtId="1" fontId="23" fillId="0" borderId="22" xfId="0" applyNumberFormat="1" applyFont="1" applyBorder="1" applyAlignment="1">
      <alignment horizontal="left"/>
    </xf>
    <xf numFmtId="1" fontId="23" fillId="0" borderId="20" xfId="0" applyNumberFormat="1" applyFont="1" applyBorder="1" applyAlignment="1">
      <alignment horizontal="left"/>
    </xf>
    <xf numFmtId="1" fontId="23" fillId="0" borderId="21" xfId="0" applyNumberFormat="1" applyFont="1" applyBorder="1" applyAlignment="1">
      <alignment horizontal="left"/>
    </xf>
    <xf numFmtId="2" fontId="23" fillId="0" borderId="19" xfId="0" applyNumberFormat="1" applyFont="1" applyBorder="1" applyAlignment="1">
      <alignment horizontal="left"/>
    </xf>
    <xf numFmtId="1" fontId="23" fillId="0" borderId="19" xfId="0" applyNumberFormat="1" applyFont="1" applyBorder="1" applyAlignment="1">
      <alignment horizontal="left"/>
    </xf>
    <xf numFmtId="1" fontId="23" fillId="0" borderId="23" xfId="0" applyNumberFormat="1" applyFont="1" applyBorder="1" applyAlignment="1">
      <alignment horizontal="left"/>
    </xf>
    <xf numFmtId="1" fontId="23" fillId="0" borderId="19" xfId="1" applyNumberFormat="1" applyFont="1" applyBorder="1" applyAlignment="1">
      <alignment horizontal="left"/>
    </xf>
    <xf numFmtId="1" fontId="23" fillId="0" borderId="21" xfId="1" applyNumberFormat="1" applyFont="1" applyBorder="1" applyAlignment="1">
      <alignment horizontal="left"/>
    </xf>
    <xf numFmtId="1" fontId="23" fillId="0" borderId="23" xfId="1" applyNumberFormat="1" applyFont="1" applyBorder="1" applyAlignment="1">
      <alignment horizontal="left"/>
    </xf>
    <xf numFmtId="1" fontId="21" fillId="0" borderId="19" xfId="0" applyNumberFormat="1" applyFont="1" applyBorder="1" applyAlignment="1">
      <alignment horizontal="left"/>
    </xf>
    <xf numFmtId="1" fontId="21" fillId="0" borderId="20" xfId="0" applyNumberFormat="1" applyFont="1" applyBorder="1" applyAlignment="1">
      <alignment horizontal="left"/>
    </xf>
    <xf numFmtId="1" fontId="21" fillId="0" borderId="24" xfId="0" applyNumberFormat="1" applyFont="1" applyBorder="1" applyAlignment="1">
      <alignment horizontal="left"/>
    </xf>
    <xf numFmtId="0" fontId="23" fillId="0" borderId="25" xfId="0" applyFont="1" applyBorder="1" applyAlignment="1">
      <alignment horizontal="left"/>
    </xf>
    <xf numFmtId="0" fontId="23" fillId="0" borderId="26" xfId="0" applyFont="1" applyBorder="1" applyAlignment="1">
      <alignment horizontal="left"/>
    </xf>
    <xf numFmtId="1" fontId="23" fillId="0" borderId="27" xfId="0" applyNumberFormat="1" applyFont="1" applyBorder="1" applyAlignment="1">
      <alignment horizontal="left"/>
    </xf>
    <xf numFmtId="1" fontId="23" fillId="0" borderId="26" xfId="0" applyNumberFormat="1" applyFont="1" applyBorder="1" applyAlignment="1">
      <alignment horizontal="left"/>
    </xf>
    <xf numFmtId="1" fontId="23" fillId="0" borderId="25" xfId="0" applyNumberFormat="1" applyFont="1" applyBorder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12" fillId="0" borderId="0" xfId="0" applyFont="1"/>
    <xf numFmtId="0" fontId="21" fillId="0" borderId="7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1" fontId="21" fillId="0" borderId="9" xfId="0" applyNumberFormat="1" applyFont="1" applyBorder="1" applyAlignment="1">
      <alignment horizontal="left" vertical="center"/>
    </xf>
    <xf numFmtId="1" fontId="21" fillId="0" borderId="8" xfId="0" applyNumberFormat="1" applyFont="1" applyBorder="1" applyAlignment="1">
      <alignment horizontal="left" vertical="center"/>
    </xf>
    <xf numFmtId="1" fontId="21" fillId="0" borderId="5" xfId="0" applyNumberFormat="1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1" fontId="21" fillId="0" borderId="7" xfId="0" applyNumberFormat="1" applyFont="1" applyBorder="1" applyAlignment="1">
      <alignment horizontal="left" vertical="center"/>
    </xf>
    <xf numFmtId="1" fontId="21" fillId="0" borderId="28" xfId="0" applyNumberFormat="1" applyFont="1" applyBorder="1" applyAlignment="1">
      <alignment horizontal="left" vertical="center"/>
    </xf>
    <xf numFmtId="1" fontId="23" fillId="0" borderId="5" xfId="0" applyNumberFormat="1" applyFont="1" applyBorder="1" applyAlignment="1">
      <alignment horizontal="left"/>
    </xf>
    <xf numFmtId="1" fontId="23" fillId="0" borderId="9" xfId="0" applyNumberFormat="1" applyFont="1" applyBorder="1" applyAlignment="1">
      <alignment horizontal="left"/>
    </xf>
    <xf numFmtId="1" fontId="23" fillId="0" borderId="0" xfId="0" applyNumberFormat="1" applyFont="1"/>
    <xf numFmtId="1" fontId="22" fillId="0" borderId="13" xfId="0" applyNumberFormat="1" applyFont="1" applyBorder="1" applyAlignment="1">
      <alignment horizontal="left"/>
    </xf>
    <xf numFmtId="1" fontId="24" fillId="0" borderId="13" xfId="0" applyNumberFormat="1" applyFont="1" applyBorder="1" applyAlignment="1">
      <alignment horizontal="left"/>
    </xf>
    <xf numFmtId="1" fontId="22" fillId="0" borderId="29" xfId="0" applyNumberFormat="1" applyFont="1" applyBorder="1" applyAlignment="1">
      <alignment horizontal="left"/>
    </xf>
    <xf numFmtId="1" fontId="18" fillId="0" borderId="1" xfId="0" applyNumberFormat="1" applyFont="1" applyBorder="1" applyAlignment="1">
      <alignment horizontal="left" vertical="center"/>
    </xf>
    <xf numFmtId="1" fontId="18" fillId="0" borderId="4" xfId="0" applyNumberFormat="1" applyFont="1" applyBorder="1" applyAlignment="1">
      <alignment horizontal="left"/>
    </xf>
    <xf numFmtId="1" fontId="24" fillId="0" borderId="2" xfId="0" applyNumberFormat="1" applyFont="1" applyBorder="1" applyAlignment="1">
      <alignment horizontal="left"/>
    </xf>
    <xf numFmtId="1" fontId="18" fillId="0" borderId="1" xfId="1" applyNumberFormat="1" applyFont="1" applyBorder="1" applyAlignment="1">
      <alignment horizontal="left"/>
    </xf>
    <xf numFmtId="1" fontId="18" fillId="0" borderId="1" xfId="0" applyNumberFormat="1" applyFont="1" applyBorder="1" applyAlignment="1">
      <alignment horizontal="left"/>
    </xf>
    <xf numFmtId="1" fontId="19" fillId="0" borderId="1" xfId="0" applyNumberFormat="1" applyFont="1" applyBorder="1" applyAlignment="1">
      <alignment horizontal="left" vertical="center"/>
    </xf>
    <xf numFmtId="1" fontId="19" fillId="0" borderId="1" xfId="0" applyNumberFormat="1" applyFont="1" applyBorder="1" applyAlignment="1">
      <alignment horizontal="left"/>
    </xf>
    <xf numFmtId="1" fontId="22" fillId="0" borderId="30" xfId="0" applyNumberFormat="1" applyFont="1" applyBorder="1" applyAlignment="1">
      <alignment horizontal="left"/>
    </xf>
    <xf numFmtId="1" fontId="18" fillId="0" borderId="19" xfId="0" applyNumberFormat="1" applyFont="1" applyBorder="1" applyAlignment="1">
      <alignment horizontal="left" vertical="center"/>
    </xf>
    <xf numFmtId="1" fontId="18" fillId="0" borderId="20" xfId="0" applyNumberFormat="1" applyFont="1" applyBorder="1" applyAlignment="1">
      <alignment horizontal="left"/>
    </xf>
    <xf numFmtId="1" fontId="14" fillId="0" borderId="9" xfId="0" applyNumberFormat="1" applyFont="1" applyBorder="1" applyAlignment="1">
      <alignment horizontal="left"/>
    </xf>
    <xf numFmtId="1" fontId="13" fillId="0" borderId="13" xfId="0" applyNumberFormat="1" applyFont="1" applyBorder="1" applyAlignment="1">
      <alignment horizontal="left" vertical="center"/>
    </xf>
    <xf numFmtId="1" fontId="13" fillId="0" borderId="18" xfId="0" applyNumberFormat="1" applyFont="1" applyBorder="1" applyAlignment="1">
      <alignment horizontal="left" vertical="center"/>
    </xf>
    <xf numFmtId="1" fontId="13" fillId="0" borderId="1" xfId="1" applyNumberFormat="1" applyFont="1" applyBorder="1" applyAlignment="1">
      <alignment horizontal="left"/>
    </xf>
    <xf numFmtId="2" fontId="13" fillId="0" borderId="13" xfId="0" applyNumberFormat="1" applyFont="1" applyBorder="1" applyAlignment="1">
      <alignment horizontal="left"/>
    </xf>
    <xf numFmtId="2" fontId="13" fillId="0" borderId="1" xfId="2" applyNumberFormat="1" applyFont="1" applyBorder="1" applyAlignment="1">
      <alignment horizontal="left"/>
    </xf>
    <xf numFmtId="1" fontId="13" fillId="0" borderId="0" xfId="0" applyNumberFormat="1" applyFont="1"/>
    <xf numFmtId="0" fontId="21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1" fontId="22" fillId="0" borderId="1" xfId="0" applyNumberFormat="1" applyFont="1" applyBorder="1" applyAlignment="1">
      <alignment horizontal="left"/>
    </xf>
    <xf numFmtId="1" fontId="22" fillId="0" borderId="3" xfId="0" applyNumberFormat="1" applyFont="1" applyBorder="1" applyAlignment="1">
      <alignment horizontal="left"/>
    </xf>
    <xf numFmtId="1" fontId="23" fillId="0" borderId="12" xfId="0" applyNumberFormat="1" applyFont="1" applyBorder="1" applyAlignment="1">
      <alignment horizontal="left"/>
    </xf>
    <xf numFmtId="1" fontId="23" fillId="0" borderId="31" xfId="0" applyNumberFormat="1" applyFont="1" applyBorder="1" applyAlignment="1">
      <alignment horizontal="left"/>
    </xf>
    <xf numFmtId="0" fontId="23" fillId="0" borderId="35" xfId="0" applyFont="1" applyBorder="1" applyAlignment="1">
      <alignment horizontal="left"/>
    </xf>
    <xf numFmtId="0" fontId="23" fillId="0" borderId="36" xfId="0" applyFont="1" applyBorder="1" applyAlignment="1">
      <alignment horizontal="left"/>
    </xf>
    <xf numFmtId="0" fontId="22" fillId="0" borderId="37" xfId="0" applyFont="1" applyBorder="1" applyAlignment="1">
      <alignment horizontal="left"/>
    </xf>
    <xf numFmtId="2" fontId="19" fillId="0" borderId="15" xfId="0" applyNumberFormat="1" applyFont="1" applyBorder="1" applyAlignment="1">
      <alignment horizontal="left"/>
    </xf>
    <xf numFmtId="0" fontId="22" fillId="0" borderId="38" xfId="0" applyFont="1" applyBorder="1" applyAlignment="1">
      <alignment horizontal="left"/>
    </xf>
    <xf numFmtId="2" fontId="18" fillId="0" borderId="19" xfId="0" applyNumberFormat="1" applyFont="1" applyBorder="1" applyAlignment="1">
      <alignment horizontal="left"/>
    </xf>
    <xf numFmtId="2" fontId="18" fillId="0" borderId="21" xfId="0" applyNumberFormat="1" applyFont="1" applyBorder="1" applyAlignment="1">
      <alignment horizontal="left"/>
    </xf>
    <xf numFmtId="2" fontId="18" fillId="0" borderId="23" xfId="0" applyNumberFormat="1" applyFont="1" applyBorder="1" applyAlignment="1">
      <alignment horizontal="left"/>
    </xf>
    <xf numFmtId="2" fontId="18" fillId="0" borderId="22" xfId="0" applyNumberFormat="1" applyFont="1" applyBorder="1" applyAlignment="1">
      <alignment horizontal="left"/>
    </xf>
    <xf numFmtId="2" fontId="18" fillId="0" borderId="20" xfId="0" applyNumberFormat="1" applyFont="1" applyBorder="1" applyAlignment="1">
      <alignment horizontal="left"/>
    </xf>
    <xf numFmtId="2" fontId="18" fillId="0" borderId="19" xfId="1" applyNumberFormat="1" applyFont="1" applyBorder="1" applyAlignment="1">
      <alignment horizontal="left"/>
    </xf>
    <xf numFmtId="2" fontId="19" fillId="0" borderId="19" xfId="0" applyNumberFormat="1" applyFont="1" applyBorder="1" applyAlignment="1">
      <alignment horizontal="left"/>
    </xf>
    <xf numFmtId="2" fontId="19" fillId="0" borderId="38" xfId="0" applyNumberFormat="1" applyFont="1" applyBorder="1" applyAlignment="1">
      <alignment horizontal="left"/>
    </xf>
    <xf numFmtId="2" fontId="18" fillId="0" borderId="39" xfId="0" applyNumberFormat="1" applyFont="1" applyBorder="1" applyAlignment="1">
      <alignment horizontal="left"/>
    </xf>
    <xf numFmtId="2" fontId="18" fillId="0" borderId="40" xfId="0" applyNumberFormat="1" applyFont="1" applyBorder="1" applyAlignment="1">
      <alignment horizontal="left"/>
    </xf>
    <xf numFmtId="2" fontId="18" fillId="0" borderId="41" xfId="0" applyNumberFormat="1" applyFont="1" applyBorder="1" applyAlignment="1">
      <alignment horizontal="left"/>
    </xf>
    <xf numFmtId="2" fontId="18" fillId="0" borderId="42" xfId="0" applyNumberFormat="1" applyFont="1" applyBorder="1" applyAlignment="1">
      <alignment horizontal="left"/>
    </xf>
    <xf numFmtId="2" fontId="18" fillId="0" borderId="43" xfId="0" applyNumberFormat="1" applyFont="1" applyBorder="1" applyAlignment="1">
      <alignment horizontal="left"/>
    </xf>
    <xf numFmtId="2" fontId="18" fillId="0" borderId="39" xfId="1" applyNumberFormat="1" applyFont="1" applyBorder="1" applyAlignment="1">
      <alignment horizontal="left"/>
    </xf>
    <xf numFmtId="2" fontId="19" fillId="0" borderId="39" xfId="0" applyNumberFormat="1" applyFont="1" applyBorder="1" applyAlignment="1">
      <alignment horizontal="left"/>
    </xf>
    <xf numFmtId="2" fontId="19" fillId="0" borderId="44" xfId="0" applyNumberFormat="1" applyFont="1" applyBorder="1" applyAlignment="1">
      <alignment horizontal="left"/>
    </xf>
    <xf numFmtId="2" fontId="13" fillId="0" borderId="19" xfId="0" applyNumberFormat="1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2" fontId="13" fillId="0" borderId="20" xfId="0" applyNumberFormat="1" applyFont="1" applyBorder="1" applyAlignment="1">
      <alignment horizontal="left"/>
    </xf>
    <xf numFmtId="2" fontId="13" fillId="0" borderId="21" xfId="0" applyNumberFormat="1" applyFont="1" applyBorder="1" applyAlignment="1">
      <alignment horizontal="left"/>
    </xf>
    <xf numFmtId="2" fontId="13" fillId="0" borderId="22" xfId="0" applyNumberFormat="1" applyFont="1" applyBorder="1" applyAlignment="1">
      <alignment horizontal="left"/>
    </xf>
    <xf numFmtId="0" fontId="23" fillId="0" borderId="44" xfId="0" applyFont="1" applyBorder="1" applyAlignment="1">
      <alignment horizontal="left"/>
    </xf>
    <xf numFmtId="2" fontId="14" fillId="0" borderId="39" xfId="0" applyNumberFormat="1" applyFont="1" applyBorder="1" applyAlignment="1">
      <alignment horizontal="left"/>
    </xf>
    <xf numFmtId="0" fontId="14" fillId="0" borderId="42" xfId="0" applyFont="1" applyBorder="1" applyAlignment="1">
      <alignment horizontal="left"/>
    </xf>
    <xf numFmtId="2" fontId="14" fillId="0" borderId="40" xfId="0" applyNumberFormat="1" applyFont="1" applyBorder="1" applyAlignment="1">
      <alignment horizontal="left"/>
    </xf>
    <xf numFmtId="2" fontId="14" fillId="0" borderId="42" xfId="0" applyNumberFormat="1" applyFont="1" applyBorder="1" applyAlignment="1">
      <alignment horizontal="left"/>
    </xf>
    <xf numFmtId="1" fontId="15" fillId="0" borderId="15" xfId="0" applyNumberFormat="1" applyFont="1" applyBorder="1" applyAlignment="1">
      <alignment horizontal="left" vertical="top" wrapText="1"/>
    </xf>
    <xf numFmtId="1" fontId="13" fillId="0" borderId="1" xfId="0" applyNumberFormat="1" applyFont="1" applyBorder="1" applyAlignment="1">
      <alignment horizontal="left" wrapText="1"/>
    </xf>
    <xf numFmtId="1" fontId="13" fillId="0" borderId="1" xfId="0" applyNumberFormat="1" applyFont="1" applyBorder="1" applyAlignment="1">
      <alignment horizontal="left" vertical="top" shrinkToFit="1"/>
    </xf>
    <xf numFmtId="1" fontId="13" fillId="0" borderId="1" xfId="0" applyNumberFormat="1" applyFont="1" applyBorder="1" applyAlignment="1">
      <alignment horizontal="left" vertical="top" wrapText="1"/>
    </xf>
    <xf numFmtId="2" fontId="14" fillId="0" borderId="32" xfId="0" applyNumberFormat="1" applyFont="1" applyBorder="1" applyAlignment="1">
      <alignment horizontal="left"/>
    </xf>
    <xf numFmtId="2" fontId="14" fillId="0" borderId="33" xfId="0" applyNumberFormat="1" applyFont="1" applyBorder="1" applyAlignment="1">
      <alignment horizontal="left"/>
    </xf>
    <xf numFmtId="2" fontId="13" fillId="0" borderId="33" xfId="0" applyNumberFormat="1" applyFont="1" applyBorder="1" applyAlignment="1">
      <alignment horizontal="left"/>
    </xf>
    <xf numFmtId="2" fontId="13" fillId="0" borderId="34" xfId="0" applyNumberFormat="1" applyFont="1" applyBorder="1" applyAlignment="1">
      <alignment horizontal="left"/>
    </xf>
    <xf numFmtId="2" fontId="14" fillId="0" borderId="7" xfId="0" applyNumberFormat="1" applyFont="1" applyBorder="1" applyAlignment="1">
      <alignment horizontal="left" vertical="center"/>
    </xf>
    <xf numFmtId="2" fontId="14" fillId="0" borderId="9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" fontId="14" fillId="0" borderId="16" xfId="0" applyNumberFormat="1" applyFont="1" applyBorder="1" applyAlignment="1">
      <alignment horizontal="left" vertical="center"/>
    </xf>
    <xf numFmtId="1" fontId="13" fillId="0" borderId="6" xfId="0" applyNumberFormat="1" applyFont="1" applyBorder="1" applyAlignment="1">
      <alignment horizontal="left"/>
    </xf>
    <xf numFmtId="2" fontId="13" fillId="0" borderId="1" xfId="0" applyNumberFormat="1" applyFont="1" applyBorder="1" applyAlignment="1">
      <alignment horizontal="left" vertical="center"/>
    </xf>
    <xf numFmtId="2" fontId="15" fillId="0" borderId="37" xfId="0" applyNumberFormat="1" applyFont="1" applyBorder="1" applyAlignment="1">
      <alignment horizontal="left" vertical="center" wrapText="1"/>
    </xf>
    <xf numFmtId="2" fontId="13" fillId="0" borderId="47" xfId="0" applyNumberFormat="1" applyFont="1" applyBorder="1" applyAlignment="1">
      <alignment horizontal="left"/>
    </xf>
    <xf numFmtId="2" fontId="13" fillId="0" borderId="32" xfId="0" applyNumberFormat="1" applyFont="1" applyBorder="1" applyAlignment="1">
      <alignment horizontal="left" vertical="center" wrapText="1"/>
    </xf>
    <xf numFmtId="2" fontId="13" fillId="0" borderId="32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1" fontId="14" fillId="0" borderId="7" xfId="0" applyNumberFormat="1" applyFont="1" applyBorder="1" applyAlignment="1">
      <alignment horizontal="left"/>
    </xf>
    <xf numFmtId="1" fontId="13" fillId="0" borderId="7" xfId="1" applyNumberFormat="1" applyFont="1" applyBorder="1" applyAlignment="1">
      <alignment horizontal="left"/>
    </xf>
    <xf numFmtId="3" fontId="15" fillId="0" borderId="47" xfId="0" applyNumberFormat="1" applyFont="1" applyBorder="1" applyAlignment="1">
      <alignment horizontal="left"/>
    </xf>
    <xf numFmtId="165" fontId="15" fillId="0" borderId="4" xfId="0" applyNumberFormat="1" applyFont="1" applyBorder="1" applyAlignment="1">
      <alignment horizontal="left"/>
    </xf>
    <xf numFmtId="2" fontId="13" fillId="0" borderId="32" xfId="0" applyNumberFormat="1" applyFont="1" applyBorder="1" applyAlignment="1">
      <alignment horizontal="left" wrapText="1"/>
    </xf>
    <xf numFmtId="1" fontId="20" fillId="0" borderId="14" xfId="0" applyNumberFormat="1" applyFont="1" applyBorder="1" applyAlignment="1">
      <alignment horizontal="left"/>
    </xf>
    <xf numFmtId="1" fontId="13" fillId="0" borderId="29" xfId="0" applyNumberFormat="1" applyFont="1" applyBorder="1" applyAlignment="1">
      <alignment horizontal="left"/>
    </xf>
    <xf numFmtId="1" fontId="13" fillId="0" borderId="30" xfId="0" applyNumberFormat="1" applyFont="1" applyBorder="1" applyAlignment="1">
      <alignment horizontal="left"/>
    </xf>
    <xf numFmtId="1" fontId="18" fillId="0" borderId="1" xfId="2" applyNumberFormat="1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2" fontId="18" fillId="0" borderId="7" xfId="0" applyNumberFormat="1" applyFont="1" applyBorder="1" applyAlignment="1">
      <alignment horizontal="left"/>
    </xf>
    <xf numFmtId="2" fontId="18" fillId="0" borderId="5" xfId="0" applyNumberFormat="1" applyFont="1" applyBorder="1" applyAlignment="1">
      <alignment horizontal="left"/>
    </xf>
    <xf numFmtId="2" fontId="18" fillId="0" borderId="28" xfId="0" applyNumberFormat="1" applyFont="1" applyBorder="1" applyAlignment="1">
      <alignment horizontal="left"/>
    </xf>
    <xf numFmtId="2" fontId="18" fillId="0" borderId="9" xfId="0" applyNumberFormat="1" applyFont="1" applyBorder="1" applyAlignment="1">
      <alignment horizontal="left"/>
    </xf>
    <xf numFmtId="2" fontId="18" fillId="0" borderId="8" xfId="0" applyNumberFormat="1" applyFont="1" applyBorder="1" applyAlignment="1">
      <alignment horizontal="left"/>
    </xf>
    <xf numFmtId="2" fontId="18" fillId="0" borderId="7" xfId="1" applyNumberFormat="1" applyFont="1" applyBorder="1" applyAlignment="1">
      <alignment horizontal="left"/>
    </xf>
    <xf numFmtId="2" fontId="19" fillId="0" borderId="7" xfId="0" applyNumberFormat="1" applyFont="1" applyBorder="1" applyAlignment="1">
      <alignment horizontal="left"/>
    </xf>
    <xf numFmtId="2" fontId="19" fillId="0" borderId="48" xfId="0" applyNumberFormat="1" applyFont="1" applyBorder="1" applyAlignment="1">
      <alignment horizontal="left"/>
    </xf>
    <xf numFmtId="0" fontId="23" fillId="0" borderId="39" xfId="0" applyFont="1" applyBorder="1" applyAlignment="1">
      <alignment horizontal="left"/>
    </xf>
    <xf numFmtId="0" fontId="23" fillId="0" borderId="49" xfId="0" applyFont="1" applyBorder="1" applyAlignment="1">
      <alignment horizontal="left"/>
    </xf>
    <xf numFmtId="1" fontId="21" fillId="0" borderId="50" xfId="0" applyNumberFormat="1" applyFont="1" applyBorder="1" applyAlignment="1">
      <alignment horizontal="left"/>
    </xf>
    <xf numFmtId="1" fontId="23" fillId="0" borderId="22" xfId="1" applyNumberFormat="1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22" fillId="0" borderId="29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1" fontId="22" fillId="0" borderId="28" xfId="0" applyNumberFormat="1" applyFont="1" applyBorder="1" applyAlignment="1">
      <alignment horizontal="left"/>
    </xf>
    <xf numFmtId="0" fontId="22" fillId="0" borderId="48" xfId="0" applyFont="1" applyBorder="1" applyAlignment="1">
      <alignment horizontal="left"/>
    </xf>
    <xf numFmtId="0" fontId="23" fillId="0" borderId="9" xfId="0" applyFont="1" applyBorder="1" applyAlignment="1">
      <alignment horizontal="left"/>
    </xf>
    <xf numFmtId="1" fontId="23" fillId="0" borderId="1" xfId="0" applyNumberFormat="1" applyFont="1" applyBorder="1" applyAlignment="1">
      <alignment horizontal="left" vertical="center"/>
    </xf>
    <xf numFmtId="1" fontId="23" fillId="0" borderId="4" xfId="1" applyNumberFormat="1" applyFont="1" applyBorder="1" applyAlignment="1">
      <alignment horizontal="left"/>
    </xf>
    <xf numFmtId="1" fontId="13" fillId="0" borderId="13" xfId="0" applyNumberFormat="1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2" fontId="25" fillId="0" borderId="1" xfId="0" applyNumberFormat="1" applyFont="1" applyBorder="1" applyAlignment="1">
      <alignment horizontal="left" vertical="center"/>
    </xf>
    <xf numFmtId="2" fontId="25" fillId="0" borderId="4" xfId="0" applyNumberFormat="1" applyFont="1" applyBorder="1" applyAlignment="1">
      <alignment horizontal="left" vertical="center"/>
    </xf>
    <xf numFmtId="2" fontId="25" fillId="0" borderId="16" xfId="0" applyNumberFormat="1" applyFont="1" applyBorder="1" applyAlignment="1">
      <alignment horizontal="left" vertical="center"/>
    </xf>
    <xf numFmtId="2" fontId="25" fillId="0" borderId="18" xfId="0" applyNumberFormat="1" applyFont="1" applyBorder="1" applyAlignment="1">
      <alignment horizontal="left" vertical="center"/>
    </xf>
    <xf numFmtId="2" fontId="25" fillId="0" borderId="2" xfId="0" applyNumberFormat="1" applyFont="1" applyBorder="1" applyAlignment="1">
      <alignment horizontal="left" vertical="center"/>
    </xf>
    <xf numFmtId="2" fontId="25" fillId="0" borderId="13" xfId="0" applyNumberFormat="1" applyFont="1" applyBorder="1" applyAlignment="1">
      <alignment horizontal="left" vertical="center"/>
    </xf>
    <xf numFmtId="2" fontId="25" fillId="0" borderId="3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44" xfId="0" applyFont="1" applyBorder="1" applyAlignment="1">
      <alignment horizontal="left"/>
    </xf>
    <xf numFmtId="2" fontId="25" fillId="0" borderId="43" xfId="0" applyNumberFormat="1" applyFont="1" applyBorder="1" applyAlignment="1">
      <alignment horizontal="left" vertical="center"/>
    </xf>
    <xf numFmtId="2" fontId="25" fillId="0" borderId="51" xfId="0" applyNumberFormat="1" applyFont="1" applyBorder="1" applyAlignment="1">
      <alignment horizontal="left" vertical="center"/>
    </xf>
    <xf numFmtId="2" fontId="25" fillId="0" borderId="39" xfId="0" applyNumberFormat="1" applyFont="1" applyBorder="1" applyAlignment="1">
      <alignment horizontal="left" vertical="center"/>
    </xf>
    <xf numFmtId="2" fontId="25" fillId="0" borderId="52" xfId="0" applyNumberFormat="1" applyFont="1" applyBorder="1" applyAlignment="1">
      <alignment horizontal="left" vertical="center"/>
    </xf>
    <xf numFmtId="2" fontId="29" fillId="0" borderId="39" xfId="1" applyNumberFormat="1" applyFont="1" applyBorder="1" applyAlignment="1">
      <alignment horizontal="left"/>
    </xf>
    <xf numFmtId="2" fontId="29" fillId="0" borderId="39" xfId="0" applyNumberFormat="1" applyFont="1" applyBorder="1" applyAlignment="1">
      <alignment horizontal="left"/>
    </xf>
    <xf numFmtId="2" fontId="29" fillId="0" borderId="44" xfId="0" applyNumberFormat="1" applyFont="1" applyBorder="1" applyAlignment="1">
      <alignment horizontal="left"/>
    </xf>
    <xf numFmtId="0" fontId="30" fillId="0" borderId="0" xfId="0" applyFont="1" applyAlignment="1">
      <alignment horizontal="left"/>
    </xf>
    <xf numFmtId="0" fontId="27" fillId="0" borderId="53" xfId="0" applyFont="1" applyBorder="1" applyAlignment="1">
      <alignment horizontal="left"/>
    </xf>
    <xf numFmtId="2" fontId="25" fillId="0" borderId="54" xfId="0" applyNumberFormat="1" applyFont="1" applyBorder="1" applyAlignment="1">
      <alignment horizontal="left" vertical="center"/>
    </xf>
    <xf numFmtId="2" fontId="25" fillId="0" borderId="55" xfId="0" applyNumberFormat="1" applyFont="1" applyBorder="1" applyAlignment="1">
      <alignment horizontal="left" vertical="center"/>
    </xf>
    <xf numFmtId="2" fontId="25" fillId="0" borderId="56" xfId="0" applyNumberFormat="1" applyFont="1" applyBorder="1" applyAlignment="1">
      <alignment horizontal="left" vertical="center"/>
    </xf>
    <xf numFmtId="2" fontId="25" fillId="0" borderId="57" xfId="0" applyNumberFormat="1" applyFont="1" applyBorder="1" applyAlignment="1">
      <alignment horizontal="left" vertical="center"/>
    </xf>
    <xf numFmtId="2" fontId="29" fillId="0" borderId="56" xfId="0" applyNumberFormat="1" applyFont="1" applyBorder="1" applyAlignment="1">
      <alignment horizontal="left"/>
    </xf>
    <xf numFmtId="2" fontId="29" fillId="0" borderId="53" xfId="0" applyNumberFormat="1" applyFont="1" applyBorder="1" applyAlignment="1">
      <alignment horizontal="left"/>
    </xf>
    <xf numFmtId="0" fontId="13" fillId="0" borderId="0" xfId="0" applyFont="1"/>
    <xf numFmtId="0" fontId="15" fillId="0" borderId="15" xfId="0" applyFont="1" applyBorder="1" applyAlignment="1">
      <alignment horizontal="left"/>
    </xf>
    <xf numFmtId="0" fontId="17" fillId="0" borderId="58" xfId="0" applyFont="1" applyBorder="1"/>
    <xf numFmtId="0" fontId="17" fillId="0" borderId="16" xfId="0" applyFont="1" applyBorder="1"/>
    <xf numFmtId="0" fontId="17" fillId="0" borderId="34" xfId="0" applyFont="1" applyBorder="1"/>
    <xf numFmtId="0" fontId="17" fillId="0" borderId="3" xfId="0" applyFont="1" applyBorder="1"/>
    <xf numFmtId="0" fontId="15" fillId="0" borderId="37" xfId="0" applyFont="1" applyBorder="1" applyAlignment="1">
      <alignment horizontal="left"/>
    </xf>
    <xf numFmtId="0" fontId="17" fillId="0" borderId="18" xfId="0" applyFont="1" applyBorder="1"/>
    <xf numFmtId="0" fontId="17" fillId="0" borderId="15" xfId="0" applyFont="1" applyBorder="1"/>
    <xf numFmtId="0" fontId="17" fillId="0" borderId="4" xfId="0" applyFont="1" applyBorder="1"/>
    <xf numFmtId="0" fontId="18" fillId="0" borderId="0" xfId="0" applyFont="1"/>
    <xf numFmtId="2" fontId="18" fillId="0" borderId="15" xfId="0" applyNumberFormat="1" applyFont="1" applyBorder="1" applyAlignment="1">
      <alignment vertical="center"/>
    </xf>
    <xf numFmtId="2" fontId="19" fillId="0" borderId="15" xfId="0" applyNumberFormat="1" applyFont="1" applyBorder="1" applyAlignment="1">
      <alignment vertical="center"/>
    </xf>
    <xf numFmtId="2" fontId="18" fillId="0" borderId="16" xfId="0" applyNumberFormat="1" applyFont="1" applyBorder="1" applyAlignment="1">
      <alignment horizontal="right"/>
    </xf>
    <xf numFmtId="2" fontId="19" fillId="0" borderId="16" xfId="0" applyNumberFormat="1" applyFont="1" applyBorder="1" applyAlignment="1">
      <alignment horizontal="right"/>
    </xf>
    <xf numFmtId="0" fontId="24" fillId="0" borderId="29" xfId="0" applyFont="1" applyBorder="1" applyAlignment="1">
      <alignment horizontal="left"/>
    </xf>
    <xf numFmtId="0" fontId="24" fillId="0" borderId="60" xfId="0" applyFont="1" applyBorder="1" applyAlignment="1">
      <alignment horizontal="left"/>
    </xf>
    <xf numFmtId="0" fontId="19" fillId="0" borderId="48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7" fillId="0" borderId="60" xfId="0" applyFont="1" applyBorder="1"/>
    <xf numFmtId="0" fontId="17" fillId="0" borderId="29" xfId="0" applyFont="1" applyBorder="1"/>
    <xf numFmtId="0" fontId="19" fillId="0" borderId="48" xfId="0" applyFont="1" applyBorder="1" applyAlignment="1">
      <alignment horizontal="center" vertical="center"/>
    </xf>
    <xf numFmtId="2" fontId="18" fillId="0" borderId="15" xfId="0" applyNumberFormat="1" applyFont="1" applyBorder="1" applyAlignment="1">
      <alignment horizontal="right"/>
    </xf>
    <xf numFmtId="2" fontId="19" fillId="0" borderId="15" xfId="0" applyNumberFormat="1" applyFont="1" applyBorder="1" applyAlignment="1">
      <alignment horizontal="right"/>
    </xf>
    <xf numFmtId="0" fontId="14" fillId="0" borderId="10" xfId="0" applyFont="1" applyBorder="1" applyAlignment="1">
      <alignment horizontal="center" vertical="center"/>
    </xf>
    <xf numFmtId="2" fontId="13" fillId="0" borderId="16" xfId="0" applyNumberFormat="1" applyFont="1" applyBorder="1" applyAlignment="1">
      <alignment horizontal="right"/>
    </xf>
    <xf numFmtId="2" fontId="14" fillId="0" borderId="16" xfId="0" applyNumberFormat="1" applyFont="1" applyBorder="1" applyAlignment="1">
      <alignment horizontal="right"/>
    </xf>
    <xf numFmtId="0" fontId="13" fillId="0" borderId="17" xfId="0" applyFont="1" applyBorder="1" applyAlignment="1">
      <alignment horizontal="left"/>
    </xf>
    <xf numFmtId="2" fontId="13" fillId="0" borderId="16" xfId="0" applyNumberFormat="1" applyFont="1" applyBorder="1" applyAlignment="1">
      <alignment horizontal="left"/>
    </xf>
    <xf numFmtId="2" fontId="14" fillId="0" borderId="16" xfId="0" applyNumberFormat="1" applyFont="1" applyBorder="1" applyAlignment="1">
      <alignment horizontal="left"/>
    </xf>
    <xf numFmtId="2" fontId="23" fillId="0" borderId="16" xfId="0" applyNumberFormat="1" applyFont="1" applyBorder="1" applyAlignment="1">
      <alignment horizontal="left"/>
    </xf>
    <xf numFmtId="2" fontId="18" fillId="0" borderId="16" xfId="2" applyNumberFormat="1" applyFont="1" applyBorder="1" applyAlignment="1">
      <alignment horizontal="right"/>
    </xf>
    <xf numFmtId="2" fontId="18" fillId="0" borderId="16" xfId="1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right"/>
    </xf>
    <xf numFmtId="2" fontId="18" fillId="0" borderId="16" xfId="0" applyNumberFormat="1" applyFont="1" applyBorder="1" applyAlignment="1">
      <alignment horizontal="right" wrapText="1"/>
    </xf>
    <xf numFmtId="3" fontId="22" fillId="0" borderId="16" xfId="0" applyNumberFormat="1" applyFont="1" applyBorder="1" applyAlignment="1">
      <alignment horizontal="right"/>
    </xf>
    <xf numFmtId="3" fontId="24" fillId="0" borderId="16" xfId="0" applyNumberFormat="1" applyFont="1" applyBorder="1" applyAlignment="1">
      <alignment horizontal="right"/>
    </xf>
    <xf numFmtId="165" fontId="22" fillId="0" borderId="16" xfId="0" applyNumberFormat="1" applyFont="1" applyBorder="1" applyAlignment="1">
      <alignment horizontal="right"/>
    </xf>
    <xf numFmtId="1" fontId="32" fillId="0" borderId="0" xfId="0" applyNumberFormat="1" applyFont="1" applyAlignment="1">
      <alignment horizontal="left"/>
    </xf>
    <xf numFmtId="0" fontId="33" fillId="0" borderId="0" xfId="0" applyFont="1" applyAlignment="1">
      <alignment horizontal="left"/>
    </xf>
    <xf numFmtId="1" fontId="14" fillId="0" borderId="8" xfId="0" applyNumberFormat="1" applyFont="1" applyBorder="1" applyAlignment="1">
      <alignment horizontal="left" vertical="center"/>
    </xf>
    <xf numFmtId="1" fontId="14" fillId="0" borderId="5" xfId="0" applyNumberFormat="1" applyFont="1" applyBorder="1" applyAlignment="1">
      <alignment horizontal="left" vertical="center"/>
    </xf>
    <xf numFmtId="1" fontId="14" fillId="0" borderId="9" xfId="0" applyNumberFormat="1" applyFont="1" applyBorder="1" applyAlignment="1">
      <alignment horizontal="left" vertical="center"/>
    </xf>
    <xf numFmtId="1" fontId="13" fillId="0" borderId="7" xfId="0" applyNumberFormat="1" applyFont="1" applyBorder="1" applyAlignment="1">
      <alignment horizontal="left" vertical="center" shrinkToFit="1"/>
    </xf>
    <xf numFmtId="1" fontId="14" fillId="0" borderId="7" xfId="0" applyNumberFormat="1" applyFont="1" applyBorder="1" applyAlignment="1">
      <alignment horizontal="left" vertical="center"/>
    </xf>
    <xf numFmtId="1" fontId="14" fillId="0" borderId="48" xfId="0" applyNumberFormat="1" applyFont="1" applyBorder="1" applyAlignment="1">
      <alignment horizontal="left" vertical="center"/>
    </xf>
    <xf numFmtId="0" fontId="33" fillId="0" borderId="61" xfId="0" applyFont="1" applyBorder="1" applyAlignment="1">
      <alignment horizontal="left"/>
    </xf>
    <xf numFmtId="0" fontId="33" fillId="0" borderId="57" xfId="0" applyFont="1" applyBorder="1" applyAlignment="1">
      <alignment horizontal="left"/>
    </xf>
    <xf numFmtId="0" fontId="33" fillId="0" borderId="27" xfId="0" applyFont="1" applyBorder="1" applyAlignment="1">
      <alignment horizontal="left"/>
    </xf>
    <xf numFmtId="0" fontId="34" fillId="0" borderId="0" xfId="0" applyFont="1"/>
    <xf numFmtId="0" fontId="33" fillId="0" borderId="25" xfId="0" applyFont="1" applyBorder="1" applyAlignment="1">
      <alignment horizontal="left"/>
    </xf>
    <xf numFmtId="0" fontId="35" fillId="0" borderId="0" xfId="0" applyFont="1"/>
    <xf numFmtId="0" fontId="36" fillId="0" borderId="45" xfId="0" applyFont="1" applyBorder="1" applyAlignment="1">
      <alignment horizontal="left"/>
    </xf>
    <xf numFmtId="1" fontId="36" fillId="0" borderId="12" xfId="0" applyNumberFormat="1" applyFont="1" applyBorder="1" applyAlignment="1">
      <alignment horizontal="left" vertical="center"/>
    </xf>
    <xf numFmtId="1" fontId="36" fillId="0" borderId="31" xfId="0" applyNumberFormat="1" applyFont="1" applyBorder="1" applyAlignment="1">
      <alignment horizontal="left" vertical="center"/>
    </xf>
    <xf numFmtId="1" fontId="36" fillId="0" borderId="62" xfId="0" applyNumberFormat="1" applyFont="1" applyBorder="1" applyAlignment="1">
      <alignment horizontal="left" vertical="center"/>
    </xf>
    <xf numFmtId="1" fontId="36" fillId="0" borderId="46" xfId="0" applyNumberFormat="1" applyFont="1" applyBorder="1" applyAlignment="1">
      <alignment horizontal="left" vertical="center"/>
    </xf>
    <xf numFmtId="1" fontId="36" fillId="0" borderId="63" xfId="0" applyNumberFormat="1" applyFont="1" applyBorder="1" applyAlignment="1">
      <alignment horizontal="left" vertical="center"/>
    </xf>
    <xf numFmtId="1" fontId="36" fillId="0" borderId="12" xfId="0" applyNumberFormat="1" applyFont="1" applyBorder="1" applyAlignment="1">
      <alignment horizontal="left"/>
    </xf>
    <xf numFmtId="1" fontId="36" fillId="0" borderId="45" xfId="0" applyNumberFormat="1" applyFont="1" applyBorder="1" applyAlignment="1">
      <alignment horizontal="left"/>
    </xf>
    <xf numFmtId="2" fontId="36" fillId="0" borderId="12" xfId="0" applyNumberFormat="1" applyFont="1" applyBorder="1" applyAlignment="1">
      <alignment horizontal="left"/>
    </xf>
    <xf numFmtId="1" fontId="36" fillId="0" borderId="12" xfId="1" applyNumberFormat="1" applyFont="1" applyBorder="1" applyAlignment="1">
      <alignment horizontal="left"/>
    </xf>
    <xf numFmtId="1" fontId="36" fillId="0" borderId="31" xfId="1" applyNumberFormat="1" applyFont="1" applyBorder="1" applyAlignment="1">
      <alignment horizontal="left"/>
    </xf>
    <xf numFmtId="0" fontId="36" fillId="0" borderId="0" xfId="0" applyFont="1" applyAlignment="1">
      <alignment horizontal="left"/>
    </xf>
    <xf numFmtId="1" fontId="37" fillId="0" borderId="0" xfId="0" applyNumberFormat="1" applyFont="1"/>
    <xf numFmtId="1" fontId="21" fillId="0" borderId="29" xfId="0" applyNumberFormat="1" applyFont="1" applyBorder="1" applyAlignment="1">
      <alignment horizontal="left" vertical="center"/>
    </xf>
    <xf numFmtId="1" fontId="24" fillId="0" borderId="1" xfId="0" applyNumberFormat="1" applyFont="1" applyBorder="1" applyAlignment="1">
      <alignment horizontal="left"/>
    </xf>
    <xf numFmtId="1" fontId="21" fillId="0" borderId="0" xfId="0" applyNumberFormat="1" applyFont="1" applyAlignment="1">
      <alignment horizontal="left"/>
    </xf>
    <xf numFmtId="1" fontId="3" fillId="0" borderId="4" xfId="0" applyNumberFormat="1" applyFont="1" applyBorder="1" applyAlignment="1">
      <alignment horizontal="left"/>
    </xf>
    <xf numFmtId="1" fontId="21" fillId="0" borderId="15" xfId="0" applyNumberFormat="1" applyFont="1" applyBorder="1" applyAlignment="1">
      <alignment horizontal="left" vertical="center"/>
    </xf>
    <xf numFmtId="1" fontId="23" fillId="0" borderId="19" xfId="0" applyNumberFormat="1" applyFont="1" applyBorder="1" applyAlignment="1">
      <alignment horizontal="left" vertical="center"/>
    </xf>
    <xf numFmtId="1" fontId="22" fillId="0" borderId="23" xfId="0" applyNumberFormat="1" applyFont="1" applyBorder="1" applyAlignment="1">
      <alignment horizontal="left"/>
    </xf>
    <xf numFmtId="1" fontId="36" fillId="0" borderId="0" xfId="0" applyNumberFormat="1" applyFont="1" applyAlignment="1">
      <alignment horizontal="left"/>
    </xf>
    <xf numFmtId="1" fontId="21" fillId="0" borderId="38" xfId="0" applyNumberFormat="1" applyFont="1" applyBorder="1" applyAlignment="1">
      <alignment horizontal="left"/>
    </xf>
    <xf numFmtId="1" fontId="36" fillId="0" borderId="56" xfId="0" applyNumberFormat="1" applyFont="1" applyBorder="1" applyAlignment="1">
      <alignment horizontal="left" vertical="center"/>
    </xf>
    <xf numFmtId="1" fontId="36" fillId="0" borderId="61" xfId="0" applyNumberFormat="1" applyFont="1" applyBorder="1" applyAlignment="1">
      <alignment horizontal="left" vertical="center"/>
    </xf>
    <xf numFmtId="1" fontId="36" fillId="0" borderId="53" xfId="0" applyNumberFormat="1" applyFont="1" applyBorder="1" applyAlignment="1">
      <alignment horizontal="left" vertical="center"/>
    </xf>
    <xf numFmtId="1" fontId="36" fillId="0" borderId="54" xfId="0" applyNumberFormat="1" applyFont="1" applyBorder="1" applyAlignment="1">
      <alignment horizontal="left" vertical="center"/>
    </xf>
    <xf numFmtId="1" fontId="36" fillId="0" borderId="64" xfId="0" applyNumberFormat="1" applyFont="1" applyBorder="1" applyAlignment="1">
      <alignment horizontal="left"/>
    </xf>
    <xf numFmtId="1" fontId="36" fillId="0" borderId="65" xfId="0" applyNumberFormat="1" applyFont="1" applyBorder="1" applyAlignment="1">
      <alignment horizontal="left"/>
    </xf>
    <xf numFmtId="1" fontId="36" fillId="0" borderId="56" xfId="0" applyNumberFormat="1" applyFont="1" applyBorder="1" applyAlignment="1">
      <alignment horizontal="left"/>
    </xf>
    <xf numFmtId="1" fontId="36" fillId="0" borderId="54" xfId="1" applyNumberFormat="1" applyFont="1" applyBorder="1" applyAlignment="1">
      <alignment horizontal="left"/>
    </xf>
    <xf numFmtId="1" fontId="36" fillId="0" borderId="53" xfId="0" applyNumberFormat="1" applyFont="1" applyBorder="1" applyAlignment="1">
      <alignment horizontal="left"/>
    </xf>
    <xf numFmtId="1" fontId="33" fillId="0" borderId="61" xfId="0" applyNumberFormat="1" applyFont="1" applyBorder="1" applyAlignment="1">
      <alignment horizontal="left"/>
    </xf>
    <xf numFmtId="1" fontId="38" fillId="0" borderId="0" xfId="0" applyNumberFormat="1" applyFont="1" applyAlignment="1">
      <alignment horizontal="left"/>
    </xf>
    <xf numFmtId="1" fontId="37" fillId="0" borderId="0" xfId="0" applyNumberFormat="1" applyFont="1" applyAlignment="1">
      <alignment horizontal="left"/>
    </xf>
    <xf numFmtId="0" fontId="36" fillId="0" borderId="53" xfId="0" applyFont="1" applyBorder="1" applyAlignment="1">
      <alignment horizontal="left"/>
    </xf>
    <xf numFmtId="1" fontId="36" fillId="0" borderId="57" xfId="0" applyNumberFormat="1" applyFont="1" applyBorder="1" applyAlignment="1">
      <alignment horizontal="left"/>
    </xf>
    <xf numFmtId="0" fontId="37" fillId="0" borderId="0" xfId="0" applyFont="1" applyAlignment="1">
      <alignment horizontal="left"/>
    </xf>
    <xf numFmtId="2" fontId="37" fillId="0" borderId="61" xfId="0" applyNumberFormat="1" applyFont="1" applyBorder="1" applyAlignment="1">
      <alignment horizontal="left"/>
    </xf>
    <xf numFmtId="2" fontId="37" fillId="0" borderId="55" xfId="0" applyNumberFormat="1" applyFont="1" applyBorder="1" applyAlignment="1">
      <alignment horizontal="left"/>
    </xf>
    <xf numFmtId="1" fontId="37" fillId="0" borderId="57" xfId="0" applyNumberFormat="1" applyFont="1" applyBorder="1" applyAlignment="1">
      <alignment horizontal="left"/>
    </xf>
    <xf numFmtId="1" fontId="37" fillId="0" borderId="55" xfId="0" applyNumberFormat="1" applyFont="1" applyBorder="1" applyAlignment="1">
      <alignment horizontal="left"/>
    </xf>
    <xf numFmtId="1" fontId="37" fillId="0" borderId="61" xfId="0" applyNumberFormat="1" applyFont="1" applyBorder="1" applyAlignment="1">
      <alignment horizontal="left"/>
    </xf>
    <xf numFmtId="2" fontId="37" fillId="0" borderId="56" xfId="0" applyNumberFormat="1" applyFont="1" applyBorder="1" applyAlignment="1">
      <alignment horizontal="left"/>
    </xf>
    <xf numFmtId="2" fontId="37" fillId="0" borderId="66" xfId="0" applyNumberFormat="1" applyFont="1" applyBorder="1" applyAlignment="1">
      <alignment horizontal="left"/>
    </xf>
    <xf numFmtId="0" fontId="36" fillId="0" borderId="57" xfId="0" applyFont="1" applyBorder="1" applyAlignment="1">
      <alignment horizontal="left"/>
    </xf>
    <xf numFmtId="0" fontId="33" fillId="0" borderId="45" xfId="0" applyFont="1" applyBorder="1" applyAlignment="1">
      <alignment horizontal="left"/>
    </xf>
    <xf numFmtId="0" fontId="34" fillId="0" borderId="63" xfId="0" applyFont="1" applyBorder="1"/>
    <xf numFmtId="0" fontId="32" fillId="0" borderId="63" xfId="0" applyFont="1" applyBorder="1" applyAlignment="1">
      <alignment horizontal="left"/>
    </xf>
    <xf numFmtId="0" fontId="32" fillId="0" borderId="31" xfId="0" applyFont="1" applyBorder="1" applyAlignment="1">
      <alignment horizontal="left"/>
    </xf>
    <xf numFmtId="0" fontId="32" fillId="0" borderId="67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6" fillId="0" borderId="55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left"/>
    </xf>
    <xf numFmtId="1" fontId="23" fillId="0" borderId="64" xfId="0" applyNumberFormat="1" applyFont="1" applyBorder="1" applyAlignment="1">
      <alignment horizontal="left"/>
    </xf>
    <xf numFmtId="1" fontId="23" fillId="0" borderId="66" xfId="0" applyNumberFormat="1" applyFont="1" applyBorder="1" applyAlignment="1">
      <alignment horizontal="left"/>
    </xf>
    <xf numFmtId="1" fontId="37" fillId="0" borderId="56" xfId="0" applyNumberFormat="1" applyFont="1" applyBorder="1" applyAlignment="1">
      <alignment horizontal="left"/>
    </xf>
    <xf numFmtId="1" fontId="37" fillId="0" borderId="64" xfId="0" applyNumberFormat="1" applyFont="1" applyBorder="1" applyAlignment="1">
      <alignment horizontal="left"/>
    </xf>
    <xf numFmtId="1" fontId="37" fillId="0" borderId="66" xfId="0" applyNumberFormat="1" applyFont="1" applyBorder="1" applyAlignment="1">
      <alignment horizontal="left"/>
    </xf>
    <xf numFmtId="1" fontId="23" fillId="0" borderId="68" xfId="0" applyNumberFormat="1" applyFont="1" applyBorder="1" applyAlignment="1">
      <alignment horizontal="left"/>
    </xf>
    <xf numFmtId="1" fontId="23" fillId="0" borderId="49" xfId="0" applyNumberFormat="1" applyFont="1" applyBorder="1" applyAlignment="1">
      <alignment horizontal="left"/>
    </xf>
    <xf numFmtId="0" fontId="23" fillId="0" borderId="56" xfId="0" applyFont="1" applyBorder="1" applyAlignment="1">
      <alignment horizontal="left"/>
    </xf>
    <xf numFmtId="2" fontId="23" fillId="0" borderId="69" xfId="0" applyNumberFormat="1" applyFont="1" applyBorder="1" applyAlignment="1">
      <alignment horizontal="left"/>
    </xf>
    <xf numFmtId="2" fontId="37" fillId="0" borderId="35" xfId="0" applyNumberFormat="1" applyFont="1" applyBorder="1" applyAlignment="1">
      <alignment horizontal="left"/>
    </xf>
    <xf numFmtId="0" fontId="36" fillId="0" borderId="61" xfId="0" applyFont="1" applyBorder="1" applyAlignment="1">
      <alignment horizontal="left"/>
    </xf>
    <xf numFmtId="0" fontId="21" fillId="0" borderId="25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3" fillId="0" borderId="66" xfId="0" applyFont="1" applyBorder="1" applyAlignment="1">
      <alignment horizontal="left"/>
    </xf>
    <xf numFmtId="2" fontId="23" fillId="0" borderId="49" xfId="0" applyNumberFormat="1" applyFont="1" applyBorder="1" applyAlignment="1">
      <alignment horizontal="left"/>
    </xf>
    <xf numFmtId="2" fontId="37" fillId="0" borderId="36" xfId="0" applyNumberFormat="1" applyFont="1" applyBorder="1" applyAlignment="1">
      <alignment horizontal="left"/>
    </xf>
    <xf numFmtId="1" fontId="36" fillId="0" borderId="53" xfId="0" applyNumberFormat="1" applyFont="1" applyBorder="1" applyAlignment="1">
      <alignment horizontal="center" vertical="justify" wrapText="1"/>
    </xf>
    <xf numFmtId="1" fontId="17" fillId="0" borderId="12" xfId="0" applyNumberFormat="1" applyFont="1" applyBorder="1" applyAlignment="1">
      <alignment horizontal="left"/>
    </xf>
    <xf numFmtId="1" fontId="17" fillId="0" borderId="31" xfId="0" applyNumberFormat="1" applyFont="1" applyBorder="1" applyAlignment="1">
      <alignment horizontal="left"/>
    </xf>
    <xf numFmtId="2" fontId="14" fillId="0" borderId="3" xfId="2" applyNumberFormat="1" applyFont="1" applyBorder="1" applyAlignment="1">
      <alignment horizontal="left"/>
    </xf>
    <xf numFmtId="2" fontId="13" fillId="0" borderId="28" xfId="0" applyNumberFormat="1" applyFont="1" applyBorder="1" applyAlignment="1">
      <alignment horizontal="left"/>
    </xf>
    <xf numFmtId="2" fontId="13" fillId="0" borderId="23" xfId="0" applyNumberFormat="1" applyFont="1" applyBorder="1" applyAlignment="1">
      <alignment horizontal="left"/>
    </xf>
    <xf numFmtId="2" fontId="14" fillId="0" borderId="41" xfId="0" applyNumberFormat="1" applyFont="1" applyBorder="1" applyAlignment="1">
      <alignment horizontal="left"/>
    </xf>
    <xf numFmtId="2" fontId="13" fillId="0" borderId="7" xfId="2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165" fontId="22" fillId="0" borderId="13" xfId="0" applyNumberFormat="1" applyFont="1" applyBorder="1" applyAlignment="1">
      <alignment horizontal="left"/>
    </xf>
    <xf numFmtId="165" fontId="22" fillId="0" borderId="23" xfId="0" applyNumberFormat="1" applyFont="1" applyBorder="1" applyAlignment="1">
      <alignment horizontal="left"/>
    </xf>
    <xf numFmtId="0" fontId="23" fillId="0" borderId="41" xfId="0" applyFont="1" applyBorder="1" applyAlignment="1">
      <alignment horizontal="left"/>
    </xf>
    <xf numFmtId="2" fontId="18" fillId="0" borderId="13" xfId="1" applyNumberFormat="1" applyFont="1" applyBorder="1" applyAlignment="1">
      <alignment horizontal="left"/>
    </xf>
    <xf numFmtId="2" fontId="18" fillId="0" borderId="23" xfId="1" applyNumberFormat="1" applyFont="1" applyBorder="1" applyAlignment="1">
      <alignment horizontal="left"/>
    </xf>
    <xf numFmtId="2" fontId="18" fillId="0" borderId="41" xfId="1" applyNumberFormat="1" applyFont="1" applyBorder="1" applyAlignment="1">
      <alignment horizontal="left"/>
    </xf>
    <xf numFmtId="1" fontId="13" fillId="0" borderId="19" xfId="0" applyNumberFormat="1" applyFont="1" applyBorder="1" applyAlignment="1">
      <alignment horizontal="left" vertical="center"/>
    </xf>
    <xf numFmtId="1" fontId="13" fillId="0" borderId="20" xfId="0" applyNumberFormat="1" applyFont="1" applyBorder="1" applyAlignment="1">
      <alignment horizontal="left"/>
    </xf>
    <xf numFmtId="1" fontId="13" fillId="0" borderId="22" xfId="0" applyNumberFormat="1" applyFont="1" applyBorder="1" applyAlignment="1">
      <alignment horizontal="left"/>
    </xf>
    <xf numFmtId="1" fontId="13" fillId="0" borderId="19" xfId="0" applyNumberFormat="1" applyFont="1" applyBorder="1" applyAlignment="1">
      <alignment horizontal="left"/>
    </xf>
    <xf numFmtId="1" fontId="13" fillId="0" borderId="21" xfId="1" applyNumberFormat="1" applyFont="1" applyBorder="1" applyAlignment="1">
      <alignment horizontal="left"/>
    </xf>
    <xf numFmtId="1" fontId="13" fillId="0" borderId="19" xfId="1" applyNumberFormat="1" applyFont="1" applyBorder="1" applyAlignment="1">
      <alignment horizontal="left"/>
    </xf>
    <xf numFmtId="1" fontId="14" fillId="0" borderId="17" xfId="0" applyNumberFormat="1" applyFont="1" applyBorder="1" applyAlignment="1">
      <alignment horizontal="left"/>
    </xf>
    <xf numFmtId="1" fontId="25" fillId="0" borderId="56" xfId="0" applyNumberFormat="1" applyFont="1" applyBorder="1" applyAlignment="1">
      <alignment horizontal="left" vertical="center"/>
    </xf>
    <xf numFmtId="1" fontId="25" fillId="0" borderId="61" xfId="0" applyNumberFormat="1" applyFont="1" applyBorder="1" applyAlignment="1">
      <alignment horizontal="left" vertical="center"/>
    </xf>
    <xf numFmtId="1" fontId="25" fillId="0" borderId="64" xfId="0" applyNumberFormat="1" applyFont="1" applyBorder="1" applyAlignment="1">
      <alignment horizontal="left" vertical="center"/>
    </xf>
    <xf numFmtId="1" fontId="25" fillId="0" borderId="66" xfId="0" applyNumberFormat="1" applyFont="1" applyBorder="1" applyAlignment="1">
      <alignment horizontal="left" vertical="center"/>
    </xf>
    <xf numFmtId="1" fontId="25" fillId="0" borderId="54" xfId="0" applyNumberFormat="1" applyFont="1" applyBorder="1" applyAlignment="1">
      <alignment horizontal="left" vertical="center"/>
    </xf>
    <xf numFmtId="1" fontId="25" fillId="0" borderId="53" xfId="0" applyNumberFormat="1" applyFont="1" applyBorder="1" applyAlignment="1">
      <alignment horizontal="left" vertical="center"/>
    </xf>
    <xf numFmtId="1" fontId="25" fillId="0" borderId="56" xfId="0" applyNumberFormat="1" applyFont="1" applyBorder="1" applyAlignment="1">
      <alignment horizontal="left"/>
    </xf>
    <xf numFmtId="1" fontId="25" fillId="0" borderId="66" xfId="0" applyNumberFormat="1" applyFont="1" applyBorder="1" applyAlignment="1">
      <alignment horizontal="left"/>
    </xf>
    <xf numFmtId="1" fontId="26" fillId="0" borderId="56" xfId="1" applyNumberFormat="1" applyFont="1" applyBorder="1" applyAlignment="1">
      <alignment horizontal="left"/>
    </xf>
    <xf numFmtId="1" fontId="26" fillId="0" borderId="57" xfId="1" applyNumberFormat="1" applyFont="1" applyBorder="1" applyAlignment="1">
      <alignment horizontal="left"/>
    </xf>
    <xf numFmtId="1" fontId="25" fillId="0" borderId="57" xfId="0" applyNumberFormat="1" applyFont="1" applyBorder="1" applyAlignment="1">
      <alignment horizontal="left"/>
    </xf>
    <xf numFmtId="1" fontId="14" fillId="0" borderId="19" xfId="0" applyNumberFormat="1" applyFont="1" applyBorder="1" applyAlignment="1">
      <alignment horizontal="left" vertical="center"/>
    </xf>
    <xf numFmtId="1" fontId="14" fillId="0" borderId="24" xfId="0" applyNumberFormat="1" applyFont="1" applyBorder="1" applyAlignment="1">
      <alignment horizontal="left" vertical="center"/>
    </xf>
    <xf numFmtId="1" fontId="14" fillId="0" borderId="20" xfId="0" applyNumberFormat="1" applyFont="1" applyBorder="1" applyAlignment="1">
      <alignment horizontal="left"/>
    </xf>
    <xf numFmtId="1" fontId="1" fillId="0" borderId="22" xfId="0" applyNumberFormat="1" applyFont="1" applyBorder="1" applyAlignment="1">
      <alignment horizontal="left"/>
    </xf>
    <xf numFmtId="1" fontId="13" fillId="0" borderId="19" xfId="0" applyNumberFormat="1" applyFont="1" applyBorder="1" applyAlignment="1">
      <alignment horizontal="left" vertical="top" wrapText="1"/>
    </xf>
    <xf numFmtId="1" fontId="14" fillId="0" borderId="20" xfId="0" applyNumberFormat="1" applyFont="1" applyBorder="1" applyAlignment="1">
      <alignment horizontal="left" vertical="center"/>
    </xf>
    <xf numFmtId="1" fontId="14" fillId="0" borderId="19" xfId="0" applyNumberFormat="1" applyFont="1" applyBorder="1" applyAlignment="1">
      <alignment horizontal="left"/>
    </xf>
    <xf numFmtId="1" fontId="18" fillId="0" borderId="1" xfId="0" applyNumberFormat="1" applyFont="1" applyBorder="1" applyAlignment="1">
      <alignment horizontal="left" wrapText="1"/>
    </xf>
    <xf numFmtId="1" fontId="36" fillId="0" borderId="11" xfId="0" applyNumberFormat="1" applyFont="1" applyBorder="1" applyAlignment="1">
      <alignment horizontal="left"/>
    </xf>
    <xf numFmtId="1" fontId="36" fillId="0" borderId="31" xfId="0" applyNumberFormat="1" applyFont="1" applyBorder="1" applyAlignment="1">
      <alignment horizontal="left"/>
    </xf>
    <xf numFmtId="3" fontId="36" fillId="0" borderId="31" xfId="0" applyNumberFormat="1" applyFont="1" applyBorder="1" applyAlignment="1">
      <alignment horizontal="left"/>
    </xf>
    <xf numFmtId="1" fontId="17" fillId="0" borderId="67" xfId="0" applyNumberFormat="1" applyFont="1" applyBorder="1" applyAlignment="1">
      <alignment horizontal="left"/>
    </xf>
    <xf numFmtId="0" fontId="19" fillId="0" borderId="70" xfId="0" applyFont="1" applyBorder="1" applyAlignment="1">
      <alignment horizontal="center" vertical="center"/>
    </xf>
    <xf numFmtId="0" fontId="22" fillId="0" borderId="30" xfId="0" applyFont="1" applyBorder="1" applyAlignment="1">
      <alignment horizontal="left"/>
    </xf>
    <xf numFmtId="0" fontId="17" fillId="0" borderId="30" xfId="0" applyFont="1" applyBorder="1"/>
    <xf numFmtId="2" fontId="18" fillId="0" borderId="38" xfId="0" applyNumberFormat="1" applyFont="1" applyBorder="1" applyAlignment="1">
      <alignment vertical="center"/>
    </xf>
    <xf numFmtId="2" fontId="18" fillId="0" borderId="24" xfId="0" applyNumberFormat="1" applyFont="1" applyBorder="1" applyAlignment="1">
      <alignment horizontal="right"/>
    </xf>
    <xf numFmtId="2" fontId="18" fillId="0" borderId="38" xfId="0" applyNumberFormat="1" applyFont="1" applyBorder="1" applyAlignment="1">
      <alignment horizontal="right"/>
    </xf>
    <xf numFmtId="2" fontId="13" fillId="0" borderId="24" xfId="0" applyNumberFormat="1" applyFont="1" applyBorder="1" applyAlignment="1">
      <alignment horizontal="right"/>
    </xf>
    <xf numFmtId="2" fontId="23" fillId="0" borderId="24" xfId="0" applyNumberFormat="1" applyFont="1" applyBorder="1" applyAlignment="1">
      <alignment horizontal="left"/>
    </xf>
    <xf numFmtId="2" fontId="18" fillId="0" borderId="24" xfId="1" applyNumberFormat="1" applyFont="1" applyBorder="1" applyAlignment="1">
      <alignment horizontal="right"/>
    </xf>
    <xf numFmtId="2" fontId="18" fillId="0" borderId="24" xfId="0" applyNumberFormat="1" applyFont="1" applyBorder="1" applyAlignment="1">
      <alignment horizontal="right" wrapText="1"/>
    </xf>
    <xf numFmtId="3" fontId="22" fillId="0" borderId="24" xfId="0" applyNumberFormat="1" applyFont="1" applyBorder="1" applyAlignment="1">
      <alignment horizontal="right"/>
    </xf>
    <xf numFmtId="0" fontId="39" fillId="0" borderId="61" xfId="0" applyFont="1" applyBorder="1" applyAlignment="1">
      <alignment horizontal="center" vertical="center"/>
    </xf>
    <xf numFmtId="1" fontId="19" fillId="0" borderId="7" xfId="0" applyNumberFormat="1" applyFont="1" applyBorder="1" applyAlignment="1">
      <alignment horizontal="left" vertical="center"/>
    </xf>
    <xf numFmtId="1" fontId="24" fillId="0" borderId="71" xfId="0" applyNumberFormat="1" applyFont="1" applyBorder="1" applyAlignment="1">
      <alignment horizontal="left"/>
    </xf>
    <xf numFmtId="1" fontId="20" fillId="0" borderId="4" xfId="0" applyNumberFormat="1" applyFont="1" applyBorder="1" applyAlignment="1">
      <alignment horizontal="left"/>
    </xf>
    <xf numFmtId="1" fontId="14" fillId="0" borderId="0" xfId="0" applyNumberFormat="1" applyFont="1" applyAlignment="1">
      <alignment horizontal="left"/>
    </xf>
    <xf numFmtId="1" fontId="14" fillId="0" borderId="4" xfId="2" applyNumberFormat="1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1" fontId="14" fillId="0" borderId="28" xfId="0" applyNumberFormat="1" applyFont="1" applyBorder="1" applyAlignment="1">
      <alignment horizontal="left" vertical="center"/>
    </xf>
    <xf numFmtId="1" fontId="20" fillId="0" borderId="8" xfId="0" applyNumberFormat="1" applyFont="1" applyBorder="1" applyAlignment="1">
      <alignment horizontal="left"/>
    </xf>
    <xf numFmtId="1" fontId="14" fillId="0" borderId="10" xfId="0" applyNumberFormat="1" applyFont="1" applyBorder="1" applyAlignment="1">
      <alignment horizontal="left" vertical="center"/>
    </xf>
    <xf numFmtId="0" fontId="25" fillId="0" borderId="53" xfId="0" applyFont="1" applyBorder="1" applyAlignment="1">
      <alignment horizontal="left"/>
    </xf>
    <xf numFmtId="1" fontId="13" fillId="0" borderId="10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" fontId="1" fillId="0" borderId="69" xfId="0" applyNumberFormat="1" applyFont="1" applyBorder="1" applyAlignment="1">
      <alignment horizontal="left" vertical="center"/>
    </xf>
    <xf numFmtId="1" fontId="4" fillId="0" borderId="50" xfId="0" applyNumberFormat="1" applyFont="1" applyBorder="1" applyAlignment="1">
      <alignment horizontal="left"/>
    </xf>
    <xf numFmtId="1" fontId="4" fillId="0" borderId="49" xfId="0" applyNumberFormat="1" applyFont="1" applyBorder="1" applyAlignment="1">
      <alignment horizontal="left"/>
    </xf>
    <xf numFmtId="1" fontId="4" fillId="0" borderId="69" xfId="0" applyNumberFormat="1" applyFont="1" applyBorder="1" applyAlignment="1">
      <alignment horizontal="left"/>
    </xf>
    <xf numFmtId="1" fontId="1" fillId="0" borderId="50" xfId="0" applyNumberFormat="1" applyFont="1" applyBorder="1" applyAlignment="1">
      <alignment horizontal="left"/>
    </xf>
    <xf numFmtId="1" fontId="1" fillId="0" borderId="49" xfId="0" applyNumberFormat="1" applyFont="1" applyBorder="1" applyAlignment="1">
      <alignment horizontal="left"/>
    </xf>
    <xf numFmtId="1" fontId="1" fillId="0" borderId="69" xfId="0" applyNumberFormat="1" applyFont="1" applyBorder="1" applyAlignment="1">
      <alignment horizontal="left"/>
    </xf>
    <xf numFmtId="2" fontId="4" fillId="0" borderId="49" xfId="0" applyNumberFormat="1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1" fontId="4" fillId="0" borderId="68" xfId="1" applyNumberFormat="1" applyFont="1" applyBorder="1" applyAlignment="1">
      <alignment horizontal="left"/>
    </xf>
    <xf numFmtId="1" fontId="4" fillId="0" borderId="49" xfId="1" applyNumberFormat="1" applyFont="1" applyBorder="1" applyAlignment="1">
      <alignment horizontal="left"/>
    </xf>
    <xf numFmtId="1" fontId="4" fillId="0" borderId="69" xfId="1" applyNumberFormat="1" applyFont="1" applyBorder="1" applyAlignment="1">
      <alignment horizontal="left"/>
    </xf>
    <xf numFmtId="1" fontId="1" fillId="0" borderId="17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" fontId="5" fillId="0" borderId="1" xfId="0" applyNumberFormat="1" applyFont="1" applyBorder="1" applyAlignment="1">
      <alignment horizontal="left"/>
    </xf>
    <xf numFmtId="1" fontId="14" fillId="0" borderId="22" xfId="0" applyNumberFormat="1" applyFont="1" applyBorder="1" applyAlignment="1">
      <alignment horizontal="left" vertical="center"/>
    </xf>
    <xf numFmtId="1" fontId="25" fillId="0" borderId="65" xfId="0" applyNumberFormat="1" applyFont="1" applyBorder="1" applyAlignment="1">
      <alignment horizontal="left" vertical="center"/>
    </xf>
    <xf numFmtId="1" fontId="25" fillId="0" borderId="57" xfId="0" applyNumberFormat="1" applyFont="1" applyBorder="1" applyAlignment="1">
      <alignment horizontal="left" vertical="center"/>
    </xf>
    <xf numFmtId="1" fontId="14" fillId="0" borderId="21" xfId="0" applyNumberFormat="1" applyFont="1" applyBorder="1" applyAlignment="1">
      <alignment horizontal="left"/>
    </xf>
    <xf numFmtId="1" fontId="14" fillId="0" borderId="22" xfId="0" applyNumberFormat="1" applyFont="1" applyBorder="1" applyAlignment="1">
      <alignment horizontal="left"/>
    </xf>
    <xf numFmtId="1" fontId="14" fillId="0" borderId="20" xfId="2" applyNumberFormat="1" applyFont="1" applyBorder="1" applyAlignment="1">
      <alignment horizontal="left"/>
    </xf>
    <xf numFmtId="1" fontId="20" fillId="0" borderId="20" xfId="0" applyNumberFormat="1" applyFont="1" applyBorder="1" applyAlignment="1">
      <alignment horizontal="left"/>
    </xf>
    <xf numFmtId="1" fontId="14" fillId="0" borderId="20" xfId="1" applyNumberFormat="1" applyFont="1" applyBorder="1" applyAlignment="1">
      <alignment horizontal="left"/>
    </xf>
    <xf numFmtId="1" fontId="14" fillId="0" borderId="69" xfId="0" applyNumberFormat="1" applyFont="1" applyBorder="1" applyAlignment="1">
      <alignment horizontal="left" vertical="center"/>
    </xf>
    <xf numFmtId="1" fontId="14" fillId="0" borderId="49" xfId="0" applyNumberFormat="1" applyFont="1" applyBorder="1" applyAlignment="1">
      <alignment horizontal="left" vertical="center"/>
    </xf>
    <xf numFmtId="1" fontId="13" fillId="0" borderId="50" xfId="0" applyNumberFormat="1" applyFont="1" applyBorder="1" applyAlignment="1">
      <alignment horizontal="left"/>
    </xf>
    <xf numFmtId="1" fontId="13" fillId="0" borderId="68" xfId="0" applyNumberFormat="1" applyFont="1" applyBorder="1" applyAlignment="1">
      <alignment horizontal="left"/>
    </xf>
    <xf numFmtId="1" fontId="13" fillId="0" borderId="49" xfId="0" applyNumberFormat="1" applyFont="1" applyBorder="1" applyAlignment="1">
      <alignment horizontal="left"/>
    </xf>
    <xf numFmtId="2" fontId="13" fillId="0" borderId="49" xfId="0" applyNumberFormat="1" applyFont="1" applyBorder="1" applyAlignment="1">
      <alignment horizontal="left"/>
    </xf>
    <xf numFmtId="1" fontId="13" fillId="0" borderId="72" xfId="0" applyNumberFormat="1" applyFont="1" applyBorder="1" applyAlignment="1">
      <alignment horizontal="left"/>
    </xf>
    <xf numFmtId="0" fontId="13" fillId="0" borderId="69" xfId="0" applyFont="1" applyBorder="1" applyAlignment="1">
      <alignment horizontal="left"/>
    </xf>
    <xf numFmtId="0" fontId="13" fillId="0" borderId="49" xfId="0" applyFont="1" applyBorder="1" applyAlignment="1">
      <alignment horizontal="left"/>
    </xf>
    <xf numFmtId="0" fontId="15" fillId="0" borderId="50" xfId="0" applyFont="1" applyBorder="1" applyAlignment="1">
      <alignment horizontal="left"/>
    </xf>
    <xf numFmtId="1" fontId="13" fillId="0" borderId="50" xfId="1" applyNumberFormat="1" applyFont="1" applyBorder="1" applyAlignment="1">
      <alignment horizontal="left"/>
    </xf>
    <xf numFmtId="1" fontId="13" fillId="0" borderId="49" xfId="1" applyNumberFormat="1" applyFont="1" applyBorder="1" applyAlignment="1">
      <alignment horizontal="left"/>
    </xf>
    <xf numFmtId="1" fontId="14" fillId="0" borderId="50" xfId="0" applyNumberFormat="1" applyFont="1" applyBorder="1" applyAlignment="1">
      <alignment horizontal="left" vertical="center"/>
    </xf>
    <xf numFmtId="1" fontId="14" fillId="0" borderId="17" xfId="0" applyNumberFormat="1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7" fillId="0" borderId="58" xfId="0" applyFont="1" applyBorder="1" applyAlignment="1">
      <alignment horizontal="left"/>
    </xf>
    <xf numFmtId="0" fontId="17" fillId="0" borderId="59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32" fillId="0" borderId="12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5" fillId="0" borderId="71" xfId="0" applyFont="1" applyBorder="1" applyAlignment="1">
      <alignment horizontal="left"/>
    </xf>
    <xf numFmtId="0" fontId="33" fillId="0" borderId="73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17" fillId="0" borderId="34" xfId="0" applyFont="1" applyBorder="1" applyAlignment="1">
      <alignment horizontal="left"/>
    </xf>
    <xf numFmtId="0" fontId="19" fillId="0" borderId="10" xfId="0" applyFont="1" applyBorder="1" applyAlignment="1">
      <alignment vertical="center"/>
    </xf>
    <xf numFmtId="2" fontId="18" fillId="0" borderId="16" xfId="0" applyNumberFormat="1" applyFont="1" applyBorder="1" applyAlignment="1">
      <alignment vertical="center"/>
    </xf>
    <xf numFmtId="2" fontId="19" fillId="0" borderId="16" xfId="0" applyNumberFormat="1" applyFont="1" applyBorder="1" applyAlignment="1">
      <alignment vertical="center"/>
    </xf>
    <xf numFmtId="2" fontId="18" fillId="0" borderId="24" xfId="0" applyNumberFormat="1" applyFont="1" applyBorder="1" applyAlignment="1">
      <alignment vertical="center"/>
    </xf>
    <xf numFmtId="2" fontId="18" fillId="0" borderId="17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left"/>
    </xf>
    <xf numFmtId="165" fontId="22" fillId="0" borderId="1" xfId="0" applyNumberFormat="1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4" fillId="0" borderId="33" xfId="0" applyFont="1" applyBorder="1" applyAlignment="1">
      <alignment horizontal="left" vertical="center"/>
    </xf>
    <xf numFmtId="2" fontId="18" fillId="0" borderId="15" xfId="1" applyNumberFormat="1" applyFont="1" applyBorder="1" applyAlignment="1">
      <alignment horizontal="right"/>
    </xf>
    <xf numFmtId="1" fontId="15" fillId="0" borderId="29" xfId="0" applyNumberFormat="1" applyFont="1" applyBorder="1" applyAlignment="1">
      <alignment horizontal="left" vertical="center" wrapText="1"/>
    </xf>
    <xf numFmtId="1" fontId="15" fillId="0" borderId="29" xfId="0" applyNumberFormat="1" applyFont="1" applyBorder="1" applyAlignment="1">
      <alignment horizontal="left" vertical="top" wrapText="1"/>
    </xf>
    <xf numFmtId="1" fontId="1" fillId="0" borderId="29" xfId="0" applyNumberFormat="1" applyFont="1" applyBorder="1" applyAlignment="1">
      <alignment horizontal="left" vertical="top" wrapText="1"/>
    </xf>
    <xf numFmtId="1" fontId="4" fillId="0" borderId="29" xfId="0" applyNumberFormat="1" applyFont="1" applyBorder="1" applyAlignment="1">
      <alignment horizontal="left" vertical="top" wrapText="1"/>
    </xf>
    <xf numFmtId="1" fontId="15" fillId="0" borderId="30" xfId="0" applyNumberFormat="1" applyFont="1" applyBorder="1" applyAlignment="1">
      <alignment horizontal="left" vertical="top" wrapText="1"/>
    </xf>
    <xf numFmtId="2" fontId="13" fillId="0" borderId="6" xfId="0" applyNumberFormat="1" applyFont="1" applyBorder="1" applyAlignment="1">
      <alignment horizontal="left"/>
    </xf>
    <xf numFmtId="2" fontId="25" fillId="0" borderId="8" xfId="0" applyNumberFormat="1" applyFont="1" applyBorder="1" applyAlignment="1">
      <alignment horizontal="left" vertical="center"/>
    </xf>
    <xf numFmtId="165" fontId="20" fillId="0" borderId="11" xfId="0" applyNumberFormat="1" applyFont="1" applyBorder="1" applyAlignment="1">
      <alignment horizontal="left"/>
    </xf>
    <xf numFmtId="1" fontId="14" fillId="0" borderId="13" xfId="0" applyNumberFormat="1" applyFont="1" applyBorder="1" applyAlignment="1">
      <alignment horizontal="left"/>
    </xf>
    <xf numFmtId="1" fontId="13" fillId="0" borderId="69" xfId="0" applyNumberFormat="1" applyFont="1" applyBorder="1" applyAlignment="1">
      <alignment horizontal="left"/>
    </xf>
    <xf numFmtId="2" fontId="13" fillId="0" borderId="69" xfId="0" applyNumberFormat="1" applyFont="1" applyBorder="1" applyAlignment="1">
      <alignment horizontal="left"/>
    </xf>
    <xf numFmtId="165" fontId="22" fillId="0" borderId="7" xfId="0" applyNumberFormat="1" applyFont="1" applyBorder="1" applyAlignment="1">
      <alignment horizontal="left"/>
    </xf>
    <xf numFmtId="165" fontId="22" fillId="0" borderId="19" xfId="0" applyNumberFormat="1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1" fontId="23" fillId="0" borderId="16" xfId="0" applyNumberFormat="1" applyFont="1" applyBorder="1" applyAlignment="1">
      <alignment horizontal="left"/>
    </xf>
    <xf numFmtId="1" fontId="39" fillId="0" borderId="70" xfId="0" applyNumberFormat="1" applyFont="1" applyBorder="1" applyAlignment="1">
      <alignment horizontal="left"/>
    </xf>
    <xf numFmtId="1" fontId="21" fillId="0" borderId="71" xfId="0" applyNumberFormat="1" applyFont="1" applyBorder="1" applyAlignment="1">
      <alignment horizontal="left"/>
    </xf>
    <xf numFmtId="1" fontId="17" fillId="0" borderId="73" xfId="0" applyNumberFormat="1" applyFont="1" applyBorder="1" applyAlignment="1">
      <alignment horizontal="left"/>
    </xf>
    <xf numFmtId="1" fontId="38" fillId="0" borderId="39" xfId="0" applyNumberFormat="1" applyFont="1" applyBorder="1" applyAlignment="1">
      <alignment horizontal="left"/>
    </xf>
    <xf numFmtId="1" fontId="18" fillId="0" borderId="32" xfId="0" applyNumberFormat="1" applyFont="1" applyBorder="1" applyAlignment="1">
      <alignment horizontal="left" vertical="center"/>
    </xf>
    <xf numFmtId="1" fontId="23" fillId="0" borderId="15" xfId="0" applyNumberFormat="1" applyFont="1" applyBorder="1" applyAlignment="1">
      <alignment horizontal="left"/>
    </xf>
    <xf numFmtId="2" fontId="23" fillId="0" borderId="3" xfId="1" applyNumberFormat="1" applyFont="1" applyBorder="1" applyAlignment="1">
      <alignment horizontal="left"/>
    </xf>
    <xf numFmtId="1" fontId="23" fillId="0" borderId="16" xfId="1" applyNumberFormat="1" applyFont="1" applyBorder="1" applyAlignment="1">
      <alignment horizontal="left"/>
    </xf>
    <xf numFmtId="1" fontId="36" fillId="0" borderId="63" xfId="1" applyNumberFormat="1" applyFont="1" applyBorder="1" applyAlignment="1">
      <alignment horizontal="left"/>
    </xf>
    <xf numFmtId="1" fontId="40" fillId="0" borderId="30" xfId="0" applyNumberFormat="1" applyFont="1" applyBorder="1" applyAlignment="1">
      <alignment horizontal="left" vertical="top" wrapText="1"/>
    </xf>
    <xf numFmtId="1" fontId="40" fillId="0" borderId="12" xfId="0" applyNumberFormat="1" applyFont="1" applyBorder="1" applyAlignment="1">
      <alignment horizontal="left" vertical="center"/>
    </xf>
    <xf numFmtId="1" fontId="40" fillId="0" borderId="22" xfId="0" applyNumberFormat="1" applyFont="1" applyBorder="1" applyAlignment="1">
      <alignment horizontal="left" vertical="center"/>
    </xf>
    <xf numFmtId="1" fontId="40" fillId="0" borderId="19" xfId="0" applyNumberFormat="1" applyFont="1" applyBorder="1" applyAlignment="1">
      <alignment horizontal="left" vertical="center"/>
    </xf>
    <xf numFmtId="1" fontId="41" fillId="0" borderId="2" xfId="1" applyNumberFormat="1" applyFont="1" applyBorder="1" applyAlignment="1">
      <alignment horizontal="left"/>
    </xf>
    <xf numFmtId="1" fontId="40" fillId="0" borderId="0" xfId="0" applyNumberFormat="1" applyFont="1" applyAlignment="1">
      <alignment horizontal="left"/>
    </xf>
    <xf numFmtId="1" fontId="41" fillId="0" borderId="29" xfId="0" applyNumberFormat="1" applyFont="1" applyBorder="1" applyAlignment="1">
      <alignment horizontal="left" vertical="top" wrapText="1"/>
    </xf>
    <xf numFmtId="1" fontId="40" fillId="0" borderId="1" xfId="0" applyNumberFormat="1" applyFont="1" applyBorder="1" applyAlignment="1">
      <alignment horizontal="left" vertical="center"/>
    </xf>
    <xf numFmtId="1" fontId="40" fillId="0" borderId="15" xfId="0" applyNumberFormat="1" applyFont="1" applyBorder="1" applyAlignment="1">
      <alignment horizontal="left" vertical="center"/>
    </xf>
    <xf numFmtId="1" fontId="41" fillId="0" borderId="0" xfId="0" applyNumberFormat="1" applyFont="1" applyAlignment="1">
      <alignment horizontal="left"/>
    </xf>
    <xf numFmtId="1" fontId="41" fillId="0" borderId="1" xfId="0" applyNumberFormat="1" applyFont="1" applyBorder="1" applyAlignment="1">
      <alignment horizontal="left" vertical="center"/>
    </xf>
    <xf numFmtId="0" fontId="42" fillId="0" borderId="29" xfId="0" applyFont="1" applyBorder="1" applyAlignment="1">
      <alignment horizontal="left"/>
    </xf>
    <xf numFmtId="0" fontId="43" fillId="0" borderId="29" xfId="0" applyFont="1" applyBorder="1"/>
    <xf numFmtId="2" fontId="44" fillId="0" borderId="15" xfId="0" applyNumberFormat="1" applyFont="1" applyBorder="1" applyAlignment="1">
      <alignment vertical="center"/>
    </xf>
    <xf numFmtId="2" fontId="44" fillId="0" borderId="16" xfId="0" applyNumberFormat="1" applyFont="1" applyBorder="1" applyAlignment="1">
      <alignment vertical="center"/>
    </xf>
    <xf numFmtId="2" fontId="44" fillId="0" borderId="16" xfId="0" applyNumberFormat="1" applyFont="1" applyBorder="1" applyAlignment="1">
      <alignment horizontal="right"/>
    </xf>
    <xf numFmtId="2" fontId="44" fillId="0" borderId="15" xfId="0" applyNumberFormat="1" applyFont="1" applyBorder="1" applyAlignment="1">
      <alignment horizontal="right"/>
    </xf>
    <xf numFmtId="2" fontId="40" fillId="0" borderId="16" xfId="0" applyNumberFormat="1" applyFont="1" applyBorder="1" applyAlignment="1">
      <alignment horizontal="right"/>
    </xf>
    <xf numFmtId="2" fontId="40" fillId="0" borderId="16" xfId="0" applyNumberFormat="1" applyFont="1" applyBorder="1" applyAlignment="1">
      <alignment horizontal="left"/>
    </xf>
    <xf numFmtId="2" fontId="44" fillId="0" borderId="16" xfId="1" applyNumberFormat="1" applyFont="1" applyBorder="1" applyAlignment="1">
      <alignment horizontal="right"/>
    </xf>
    <xf numFmtId="2" fontId="44" fillId="0" borderId="16" xfId="0" applyNumberFormat="1" applyFont="1" applyBorder="1" applyAlignment="1">
      <alignment horizontal="right" wrapText="1"/>
    </xf>
    <xf numFmtId="3" fontId="42" fillId="0" borderId="16" xfId="0" applyNumberFormat="1" applyFont="1" applyBorder="1" applyAlignment="1">
      <alignment horizontal="right"/>
    </xf>
    <xf numFmtId="0" fontId="43" fillId="0" borderId="0" xfId="0" applyFont="1"/>
    <xf numFmtId="0" fontId="42" fillId="0" borderId="61" xfId="0" applyFont="1" applyBorder="1" applyAlignment="1">
      <alignment horizontal="left"/>
    </xf>
    <xf numFmtId="0" fontId="43" fillId="0" borderId="61" xfId="0" applyFont="1" applyBorder="1"/>
    <xf numFmtId="2" fontId="44" fillId="0" borderId="53" xfId="0" applyNumberFormat="1" applyFont="1" applyBorder="1" applyAlignment="1">
      <alignment vertical="center"/>
    </xf>
    <xf numFmtId="2" fontId="44" fillId="0" borderId="57" xfId="0" applyNumberFormat="1" applyFont="1" applyBorder="1" applyAlignment="1">
      <alignment vertical="center"/>
    </xf>
    <xf numFmtId="2" fontId="44" fillId="0" borderId="57" xfId="0" applyNumberFormat="1" applyFont="1" applyBorder="1" applyAlignment="1">
      <alignment horizontal="right"/>
    </xf>
    <xf numFmtId="2" fontId="44" fillId="0" borderId="53" xfId="0" applyNumberFormat="1" applyFont="1" applyBorder="1" applyAlignment="1">
      <alignment horizontal="right"/>
    </xf>
    <xf numFmtId="2" fontId="40" fillId="0" borderId="57" xfId="0" applyNumberFormat="1" applyFont="1" applyBorder="1" applyAlignment="1">
      <alignment horizontal="right"/>
    </xf>
    <xf numFmtId="2" fontId="42" fillId="0" borderId="57" xfId="0" applyNumberFormat="1" applyFont="1" applyBorder="1" applyAlignment="1">
      <alignment horizontal="left"/>
    </xf>
    <xf numFmtId="2" fontId="44" fillId="0" borderId="57" xfId="1" applyNumberFormat="1" applyFont="1" applyBorder="1" applyAlignment="1">
      <alignment horizontal="right"/>
    </xf>
    <xf numFmtId="2" fontId="44" fillId="0" borderId="57" xfId="0" applyNumberFormat="1" applyFont="1" applyBorder="1" applyAlignment="1">
      <alignment horizontal="right" wrapText="1"/>
    </xf>
    <xf numFmtId="3" fontId="42" fillId="0" borderId="57" xfId="0" applyNumberFormat="1" applyFont="1" applyBorder="1" applyAlignment="1">
      <alignment horizontal="right"/>
    </xf>
    <xf numFmtId="2" fontId="44" fillId="0" borderId="16" xfId="2" applyNumberFormat="1" applyFont="1" applyBorder="1" applyAlignment="1">
      <alignment horizontal="right"/>
    </xf>
    <xf numFmtId="2" fontId="40" fillId="0" borderId="15" xfId="1" applyNumberFormat="1" applyFont="1" applyBorder="1" applyAlignment="1">
      <alignment horizontal="right"/>
    </xf>
    <xf numFmtId="2" fontId="40" fillId="0" borderId="16" xfId="1" applyNumberFormat="1" applyFont="1" applyBorder="1" applyAlignment="1">
      <alignment horizontal="right"/>
    </xf>
    <xf numFmtId="1" fontId="23" fillId="0" borderId="35" xfId="0" applyNumberFormat="1" applyFont="1" applyBorder="1" applyAlignment="1">
      <alignment horizontal="left"/>
    </xf>
    <xf numFmtId="2" fontId="45" fillId="0" borderId="19" xfId="0" applyNumberFormat="1" applyFont="1" applyBorder="1" applyAlignment="1">
      <alignment horizontal="left" vertical="center"/>
    </xf>
    <xf numFmtId="2" fontId="45" fillId="0" borderId="22" xfId="0" applyNumberFormat="1" applyFont="1" applyBorder="1" applyAlignment="1">
      <alignment horizontal="left" vertical="center"/>
    </xf>
    <xf numFmtId="2" fontId="14" fillId="0" borderId="20" xfId="0" applyNumberFormat="1" applyFont="1" applyBorder="1" applyAlignment="1">
      <alignment horizontal="left"/>
    </xf>
    <xf numFmtId="2" fontId="14" fillId="0" borderId="21" xfId="0" applyNumberFormat="1" applyFont="1" applyBorder="1" applyAlignment="1">
      <alignment horizontal="left"/>
    </xf>
    <xf numFmtId="2" fontId="14" fillId="0" borderId="23" xfId="0" applyNumberFormat="1" applyFont="1" applyBorder="1" applyAlignment="1">
      <alignment horizontal="left"/>
    </xf>
    <xf numFmtId="2" fontId="14" fillId="0" borderId="19" xfId="0" applyNumberFormat="1" applyFont="1" applyBorder="1" applyAlignment="1">
      <alignment horizontal="left"/>
    </xf>
    <xf numFmtId="2" fontId="14" fillId="0" borderId="22" xfId="0" applyNumberFormat="1" applyFont="1" applyBorder="1" applyAlignment="1">
      <alignment horizontal="left"/>
    </xf>
    <xf numFmtId="2" fontId="45" fillId="0" borderId="19" xfId="0" applyNumberFormat="1" applyFont="1" applyBorder="1" applyAlignment="1">
      <alignment horizontal="left"/>
    </xf>
    <xf numFmtId="2" fontId="45" fillId="0" borderId="21" xfId="0" applyNumberFormat="1" applyFont="1" applyBorder="1" applyAlignment="1">
      <alignment horizontal="left"/>
    </xf>
    <xf numFmtId="2" fontId="45" fillId="0" borderId="22" xfId="0" applyNumberFormat="1" applyFont="1" applyBorder="1" applyAlignment="1">
      <alignment horizontal="left"/>
    </xf>
    <xf numFmtId="2" fontId="45" fillId="0" borderId="23" xfId="0" applyNumberFormat="1" applyFont="1" applyBorder="1" applyAlignment="1">
      <alignment horizontal="left"/>
    </xf>
    <xf numFmtId="2" fontId="14" fillId="0" borderId="19" xfId="1" applyNumberFormat="1" applyFont="1" applyBorder="1" applyAlignment="1">
      <alignment horizontal="left"/>
    </xf>
    <xf numFmtId="2" fontId="14" fillId="0" borderId="23" xfId="1" applyNumberFormat="1" applyFont="1" applyBorder="1" applyAlignment="1">
      <alignment horizontal="left"/>
    </xf>
    <xf numFmtId="2" fontId="14" fillId="0" borderId="22" xfId="1" applyNumberFormat="1" applyFont="1" applyBorder="1" applyAlignment="1">
      <alignment horizontal="left"/>
    </xf>
    <xf numFmtId="2" fontId="14" fillId="0" borderId="19" xfId="0" applyNumberFormat="1" applyFont="1" applyBorder="1" applyAlignment="1">
      <alignment horizontal="left" vertical="center"/>
    </xf>
    <xf numFmtId="2" fontId="14" fillId="0" borderId="22" xfId="0" applyNumberFormat="1" applyFont="1" applyBorder="1" applyAlignment="1">
      <alignment horizontal="left" vertical="center"/>
    </xf>
    <xf numFmtId="2" fontId="25" fillId="0" borderId="65" xfId="0" applyNumberFormat="1" applyFont="1" applyBorder="1" applyAlignment="1">
      <alignment horizontal="left" vertical="center"/>
    </xf>
    <xf numFmtId="2" fontId="25" fillId="0" borderId="66" xfId="0" applyNumberFormat="1" applyFont="1" applyBorder="1" applyAlignment="1">
      <alignment horizontal="left" vertical="center"/>
    </xf>
    <xf numFmtId="1" fontId="14" fillId="0" borderId="15" xfId="0" applyNumberFormat="1" applyFont="1" applyBorder="1" applyAlignment="1">
      <alignment horizontal="left" vertical="center"/>
    </xf>
    <xf numFmtId="1" fontId="41" fillId="0" borderId="13" xfId="0" applyNumberFormat="1" applyFont="1" applyBorder="1" applyAlignment="1">
      <alignment horizontal="left"/>
    </xf>
    <xf numFmtId="2" fontId="13" fillId="0" borderId="74" xfId="0" applyNumberFormat="1" applyFont="1" applyBorder="1" applyAlignment="1">
      <alignment horizontal="left"/>
    </xf>
    <xf numFmtId="1" fontId="40" fillId="0" borderId="28" xfId="0" applyNumberFormat="1" applyFont="1" applyBorder="1" applyAlignment="1">
      <alignment horizontal="left" vertical="center"/>
    </xf>
    <xf numFmtId="2" fontId="13" fillId="0" borderId="74" xfId="1" applyNumberFormat="1" applyFont="1" applyBorder="1" applyAlignment="1">
      <alignment horizontal="left"/>
    </xf>
    <xf numFmtId="1" fontId="41" fillId="0" borderId="28" xfId="0" applyNumberFormat="1" applyFont="1" applyBorder="1" applyAlignment="1">
      <alignment horizontal="left" vertical="center" shrinkToFit="1"/>
    </xf>
    <xf numFmtId="1" fontId="40" fillId="0" borderId="38" xfId="0" applyNumberFormat="1" applyFont="1" applyBorder="1" applyAlignment="1">
      <alignment horizontal="left" vertical="center"/>
    </xf>
    <xf numFmtId="2" fontId="13" fillId="0" borderId="32" xfId="1" applyNumberFormat="1" applyFont="1" applyBorder="1" applyAlignment="1">
      <alignment horizontal="left"/>
    </xf>
    <xf numFmtId="1" fontId="13" fillId="0" borderId="28" xfId="0" applyNumberFormat="1" applyFont="1" applyBorder="1" applyAlignment="1">
      <alignment horizontal="left" vertical="center" shrinkToFit="1"/>
    </xf>
    <xf numFmtId="2" fontId="13" fillId="0" borderId="74" xfId="0" applyNumberFormat="1" applyFont="1" applyBorder="1" applyAlignment="1">
      <alignment horizontal="left" vertical="center" wrapText="1"/>
    </xf>
    <xf numFmtId="1" fontId="13" fillId="0" borderId="13" xfId="0" applyNumberFormat="1" applyFont="1" applyBorder="1" applyAlignment="1">
      <alignment horizontal="left" wrapText="1"/>
    </xf>
    <xf numFmtId="1" fontId="41" fillId="0" borderId="48" xfId="0" applyNumberFormat="1" applyFont="1" applyBorder="1" applyAlignment="1">
      <alignment horizontal="left" vertical="center" shrinkToFit="1"/>
    </xf>
    <xf numFmtId="1" fontId="41" fillId="0" borderId="13" xfId="0" applyNumberFormat="1" applyFont="1" applyBorder="1" applyAlignment="1">
      <alignment horizontal="left" vertical="center"/>
    </xf>
    <xf numFmtId="1" fontId="40" fillId="0" borderId="13" xfId="0" applyNumberFormat="1" applyFont="1" applyBorder="1" applyAlignment="1">
      <alignment horizontal="left" vertical="center"/>
    </xf>
    <xf numFmtId="1" fontId="40" fillId="0" borderId="23" xfId="0" applyNumberFormat="1" applyFont="1" applyBorder="1" applyAlignment="1">
      <alignment horizontal="left" vertical="center"/>
    </xf>
    <xf numFmtId="1" fontId="13" fillId="0" borderId="19" xfId="0" applyNumberFormat="1" applyFont="1" applyBorder="1" applyAlignment="1">
      <alignment horizontal="left" wrapText="1"/>
    </xf>
    <xf numFmtId="1" fontId="1" fillId="0" borderId="13" xfId="0" applyNumberFormat="1" applyFont="1" applyBorder="1" applyAlignment="1">
      <alignment horizontal="left"/>
    </xf>
    <xf numFmtId="1" fontId="1" fillId="0" borderId="23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1" fillId="0" borderId="19" xfId="0" applyNumberFormat="1" applyFont="1" applyBorder="1" applyAlignment="1">
      <alignment horizontal="left"/>
    </xf>
    <xf numFmtId="1" fontId="13" fillId="0" borderId="13" xfId="2" applyNumberFormat="1" applyFont="1" applyBorder="1" applyAlignment="1">
      <alignment horizontal="left"/>
    </xf>
    <xf numFmtId="2" fontId="13" fillId="0" borderId="74" xfId="2" applyNumberFormat="1" applyFont="1" applyBorder="1" applyAlignment="1">
      <alignment horizontal="left"/>
    </xf>
    <xf numFmtId="1" fontId="14" fillId="0" borderId="75" xfId="0" applyNumberFormat="1" applyFont="1" applyBorder="1" applyAlignment="1">
      <alignment horizontal="left" vertical="center"/>
    </xf>
    <xf numFmtId="2" fontId="13" fillId="0" borderId="59" xfId="0" applyNumberFormat="1" applyFont="1" applyBorder="1" applyAlignment="1">
      <alignment horizontal="left"/>
    </xf>
    <xf numFmtId="1" fontId="13" fillId="0" borderId="19" xfId="2" applyNumberFormat="1" applyFont="1" applyBorder="1" applyAlignment="1">
      <alignment horizontal="left"/>
    </xf>
    <xf numFmtId="2" fontId="13" fillId="0" borderId="32" xfId="2" applyNumberFormat="1" applyFont="1" applyBorder="1" applyAlignment="1">
      <alignment horizontal="left"/>
    </xf>
    <xf numFmtId="2" fontId="14" fillId="0" borderId="12" xfId="0" applyNumberFormat="1" applyFont="1" applyBorder="1" applyAlignment="1">
      <alignment horizontal="left"/>
    </xf>
    <xf numFmtId="2" fontId="13" fillId="0" borderId="70" xfId="0" applyNumberFormat="1" applyFont="1" applyBorder="1" applyAlignment="1">
      <alignment horizontal="left"/>
    </xf>
    <xf numFmtId="1" fontId="14" fillId="0" borderId="13" xfId="0" applyNumberFormat="1" applyFont="1" applyBorder="1" applyAlignment="1">
      <alignment horizontal="left" vertical="center"/>
    </xf>
    <xf numFmtId="1" fontId="40" fillId="0" borderId="67" xfId="0" applyNumberFormat="1" applyFont="1" applyBorder="1" applyAlignment="1">
      <alignment horizontal="left" vertical="center"/>
    </xf>
    <xf numFmtId="1" fontId="19" fillId="0" borderId="28" xfId="0" applyNumberFormat="1" applyFont="1" applyBorder="1" applyAlignment="1">
      <alignment horizontal="left" vertical="center"/>
    </xf>
    <xf numFmtId="1" fontId="18" fillId="0" borderId="74" xfId="0" applyNumberFormat="1" applyFont="1" applyBorder="1" applyAlignment="1">
      <alignment horizontal="left"/>
    </xf>
    <xf numFmtId="1" fontId="18" fillId="0" borderId="74" xfId="0" applyNumberFormat="1" applyFont="1" applyBorder="1" applyAlignment="1">
      <alignment horizontal="left" vertical="center"/>
    </xf>
    <xf numFmtId="1" fontId="18" fillId="0" borderId="19" xfId="0" applyNumberFormat="1" applyFont="1" applyBorder="1" applyAlignment="1">
      <alignment horizontal="left"/>
    </xf>
    <xf numFmtId="1" fontId="18" fillId="0" borderId="32" xfId="0" applyNumberFormat="1" applyFont="1" applyBorder="1" applyAlignment="1">
      <alignment horizontal="left"/>
    </xf>
    <xf numFmtId="1" fontId="38" fillId="0" borderId="41" xfId="0" applyNumberFormat="1" applyFont="1" applyBorder="1" applyAlignment="1">
      <alignment horizontal="left"/>
    </xf>
    <xf numFmtId="1" fontId="18" fillId="0" borderId="74" xfId="1" applyNumberFormat="1" applyFont="1" applyBorder="1" applyAlignment="1">
      <alignment horizontal="left"/>
    </xf>
    <xf numFmtId="1" fontId="17" fillId="0" borderId="6" xfId="0" applyNumberFormat="1" applyFont="1" applyBorder="1" applyAlignment="1">
      <alignment horizontal="left"/>
    </xf>
    <xf numFmtId="1" fontId="18" fillId="0" borderId="32" xfId="1" applyNumberFormat="1" applyFont="1" applyBorder="1" applyAlignment="1">
      <alignment horizontal="left"/>
    </xf>
    <xf numFmtId="1" fontId="46" fillId="0" borderId="28" xfId="0" applyNumberFormat="1" applyFont="1" applyBorder="1" applyAlignment="1">
      <alignment horizontal="left"/>
    </xf>
    <xf numFmtId="1" fontId="46" fillId="0" borderId="7" xfId="0" applyNumberFormat="1" applyFont="1" applyBorder="1" applyAlignment="1">
      <alignment horizontal="left"/>
    </xf>
    <xf numFmtId="1" fontId="46" fillId="0" borderId="1" xfId="0" applyNumberFormat="1" applyFont="1" applyBorder="1" applyAlignment="1">
      <alignment horizontal="left"/>
    </xf>
    <xf numFmtId="1" fontId="46" fillId="0" borderId="19" xfId="0" applyNumberFormat="1" applyFont="1" applyBorder="1" applyAlignment="1">
      <alignment horizontal="left"/>
    </xf>
    <xf numFmtId="1" fontId="18" fillId="0" borderId="19" xfId="0" applyNumberFormat="1" applyFont="1" applyBorder="1" applyAlignment="1">
      <alignment horizontal="left" wrapText="1"/>
    </xf>
    <xf numFmtId="1" fontId="18" fillId="0" borderId="32" xfId="0" applyNumberFormat="1" applyFont="1" applyBorder="1" applyAlignment="1">
      <alignment horizontal="left" wrapText="1"/>
    </xf>
    <xf numFmtId="1" fontId="5" fillId="0" borderId="19" xfId="0" applyNumberFormat="1" applyFont="1" applyBorder="1" applyAlignment="1">
      <alignment horizontal="left"/>
    </xf>
    <xf numFmtId="1" fontId="18" fillId="0" borderId="19" xfId="2" applyNumberFormat="1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2" fontId="14" fillId="0" borderId="31" xfId="0" applyNumberFormat="1" applyFont="1" applyBorder="1" applyAlignment="1">
      <alignment horizontal="left"/>
    </xf>
    <xf numFmtId="2" fontId="25" fillId="0" borderId="35" xfId="0" applyNumberFormat="1" applyFont="1" applyBorder="1" applyAlignment="1">
      <alignment horizontal="left" vertical="center"/>
    </xf>
    <xf numFmtId="2" fontId="25" fillId="0" borderId="76" xfId="0" applyNumberFormat="1" applyFont="1" applyBorder="1" applyAlignment="1">
      <alignment horizontal="left" vertical="center"/>
    </xf>
    <xf numFmtId="2" fontId="45" fillId="0" borderId="11" xfId="0" applyNumberFormat="1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2" fontId="14" fillId="0" borderId="10" xfId="0" applyNumberFormat="1" applyFont="1" applyBorder="1" applyAlignment="1">
      <alignment horizontal="left" vertical="center"/>
    </xf>
    <xf numFmtId="2" fontId="14" fillId="0" borderId="69" xfId="0" applyNumberFormat="1" applyFont="1" applyBorder="1" applyAlignment="1">
      <alignment horizontal="left" vertical="center"/>
    </xf>
    <xf numFmtId="2" fontId="14" fillId="0" borderId="56" xfId="0" applyNumberFormat="1" applyFont="1" applyBorder="1" applyAlignment="1">
      <alignment horizontal="left" vertical="center"/>
    </xf>
    <xf numFmtId="1" fontId="13" fillId="0" borderId="9" xfId="1" applyNumberFormat="1" applyFont="1" applyBorder="1" applyAlignment="1">
      <alignment horizontal="left"/>
    </xf>
    <xf numFmtId="1" fontId="14" fillId="0" borderId="69" xfId="0" applyNumberFormat="1" applyFont="1" applyBorder="1" applyAlignment="1">
      <alignment horizontal="left"/>
    </xf>
    <xf numFmtId="1" fontId="41" fillId="0" borderId="29" xfId="0" applyNumberFormat="1" applyFont="1" applyBorder="1" applyAlignment="1">
      <alignment horizontal="left" vertical="center"/>
    </xf>
    <xf numFmtId="1" fontId="40" fillId="0" borderId="29" xfId="0" applyNumberFormat="1" applyFont="1" applyBorder="1" applyAlignment="1">
      <alignment horizontal="left" vertical="center"/>
    </xf>
    <xf numFmtId="1" fontId="41" fillId="0" borderId="4" xfId="0" applyNumberFormat="1" applyFont="1" applyBorder="1" applyAlignment="1">
      <alignment horizontal="left" vertical="center"/>
    </xf>
    <xf numFmtId="1" fontId="40" fillId="0" borderId="4" xfId="0" applyNumberFormat="1" applyFont="1" applyBorder="1" applyAlignment="1">
      <alignment horizontal="left" vertical="center"/>
    </xf>
    <xf numFmtId="1" fontId="40" fillId="0" borderId="20" xfId="0" applyNumberFormat="1" applyFont="1" applyBorder="1" applyAlignment="1">
      <alignment horizontal="left" vertical="center"/>
    </xf>
    <xf numFmtId="1" fontId="41" fillId="0" borderId="15" xfId="0" applyNumberFormat="1" applyFont="1" applyBorder="1" applyAlignment="1">
      <alignment horizontal="left" vertical="center"/>
    </xf>
    <xf numFmtId="2" fontId="13" fillId="0" borderId="52" xfId="0" applyNumberFormat="1" applyFont="1" applyBorder="1" applyAlignment="1">
      <alignment horizontal="left"/>
    </xf>
    <xf numFmtId="1" fontId="40" fillId="0" borderId="30" xfId="0" applyNumberFormat="1" applyFont="1" applyBorder="1" applyAlignment="1">
      <alignment horizontal="left" vertical="center"/>
    </xf>
    <xf numFmtId="1" fontId="40" fillId="0" borderId="9" xfId="0" applyNumberFormat="1" applyFont="1" applyBorder="1" applyAlignment="1">
      <alignment horizontal="left" vertical="center"/>
    </xf>
    <xf numFmtId="2" fontId="25" fillId="0" borderId="27" xfId="0" applyNumberFormat="1" applyFont="1" applyBorder="1" applyAlignment="1">
      <alignment horizontal="left" vertical="center"/>
    </xf>
    <xf numFmtId="0" fontId="14" fillId="0" borderId="74" xfId="0" applyFont="1" applyBorder="1" applyAlignment="1">
      <alignment horizontal="left" vertical="center"/>
    </xf>
    <xf numFmtId="2" fontId="45" fillId="0" borderId="67" xfId="0" applyNumberFormat="1" applyFont="1" applyBorder="1" applyAlignment="1">
      <alignment horizontal="left"/>
    </xf>
    <xf numFmtId="2" fontId="25" fillId="0" borderId="77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23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2" fontId="1" fillId="0" borderId="3" xfId="0" applyNumberFormat="1" applyFont="1" applyBorder="1" applyAlignment="1">
      <alignment horizontal="left"/>
    </xf>
    <xf numFmtId="165" fontId="20" fillId="0" borderId="62" xfId="0" applyNumberFormat="1" applyFont="1" applyBorder="1" applyAlignment="1">
      <alignment horizontal="left"/>
    </xf>
    <xf numFmtId="0" fontId="14" fillId="0" borderId="47" xfId="0" applyFont="1" applyBorder="1" applyAlignment="1">
      <alignment horizontal="left"/>
    </xf>
    <xf numFmtId="2" fontId="14" fillId="0" borderId="3" xfId="1" applyNumberFormat="1" applyFont="1" applyBorder="1" applyAlignment="1">
      <alignment horizontal="left"/>
    </xf>
    <xf numFmtId="0" fontId="14" fillId="0" borderId="13" xfId="0" applyFont="1" applyBorder="1" applyAlignment="1">
      <alignment horizontal="left" vertical="center"/>
    </xf>
    <xf numFmtId="2" fontId="14" fillId="0" borderId="4" xfId="1" applyNumberFormat="1" applyFont="1" applyBorder="1" applyAlignment="1">
      <alignment horizontal="left"/>
    </xf>
    <xf numFmtId="2" fontId="25" fillId="0" borderId="4" xfId="1" applyNumberFormat="1" applyFont="1" applyBorder="1" applyAlignment="1">
      <alignment horizontal="left"/>
    </xf>
    <xf numFmtId="2" fontId="14" fillId="0" borderId="20" xfId="1" applyNumberFormat="1" applyFont="1" applyBorder="1" applyAlignment="1">
      <alignment horizontal="left"/>
    </xf>
    <xf numFmtId="2" fontId="25" fillId="0" borderId="54" xfId="1" applyNumberFormat="1" applyFont="1" applyBorder="1" applyAlignment="1">
      <alignment horizontal="left"/>
    </xf>
    <xf numFmtId="2" fontId="25" fillId="0" borderId="29" xfId="1" applyNumberFormat="1" applyFont="1" applyBorder="1" applyAlignment="1">
      <alignment horizontal="left"/>
    </xf>
    <xf numFmtId="2" fontId="25" fillId="0" borderId="61" xfId="1" applyNumberFormat="1" applyFont="1" applyBorder="1" applyAlignment="1">
      <alignment horizontal="left"/>
    </xf>
    <xf numFmtId="1" fontId="13" fillId="0" borderId="72" xfId="1" applyNumberFormat="1" applyFont="1" applyBorder="1" applyAlignment="1">
      <alignment horizontal="left"/>
    </xf>
    <xf numFmtId="1" fontId="14" fillId="0" borderId="23" xfId="1" applyNumberFormat="1" applyFont="1" applyBorder="1" applyAlignment="1">
      <alignment horizontal="left"/>
    </xf>
    <xf numFmtId="1" fontId="20" fillId="0" borderId="28" xfId="0" applyNumberFormat="1" applyFont="1" applyBorder="1" applyAlignment="1">
      <alignment horizontal="left"/>
    </xf>
    <xf numFmtId="1" fontId="20" fillId="0" borderId="23" xfId="0" applyNumberFormat="1" applyFont="1" applyBorder="1" applyAlignment="1">
      <alignment horizontal="left"/>
    </xf>
    <xf numFmtId="0" fontId="15" fillId="0" borderId="72" xfId="0" applyFont="1" applyBorder="1" applyAlignment="1">
      <alignment horizontal="left"/>
    </xf>
    <xf numFmtId="1" fontId="14" fillId="0" borderId="18" xfId="0" applyNumberFormat="1" applyFont="1" applyBorder="1" applyAlignment="1">
      <alignment horizontal="left" vertical="center"/>
    </xf>
    <xf numFmtId="1" fontId="14" fillId="0" borderId="78" xfId="0" applyNumberFormat="1" applyFont="1" applyBorder="1" applyAlignment="1">
      <alignment horizontal="left" vertical="center"/>
    </xf>
    <xf numFmtId="1" fontId="25" fillId="0" borderId="55" xfId="0" applyNumberFormat="1" applyFont="1" applyBorder="1" applyAlignment="1">
      <alignment horizontal="left" vertical="center"/>
    </xf>
    <xf numFmtId="1" fontId="14" fillId="0" borderId="0" xfId="0" applyNumberFormat="1" applyFont="1" applyAlignment="1">
      <alignment horizontal="left" vertical="center"/>
    </xf>
    <xf numFmtId="1" fontId="14" fillId="0" borderId="1" xfId="1" applyNumberFormat="1" applyFont="1" applyBorder="1" applyAlignment="1">
      <alignment horizontal="left"/>
    </xf>
    <xf numFmtId="1" fontId="13" fillId="0" borderId="69" xfId="1" applyNumberFormat="1" applyFont="1" applyBorder="1" applyAlignment="1">
      <alignment horizontal="left"/>
    </xf>
    <xf numFmtId="2" fontId="13" fillId="0" borderId="50" xfId="0" applyNumberFormat="1" applyFont="1" applyBorder="1" applyAlignment="1">
      <alignment horizontal="left"/>
    </xf>
    <xf numFmtId="1" fontId="25" fillId="0" borderId="35" xfId="0" applyNumberFormat="1" applyFont="1" applyBorder="1" applyAlignment="1">
      <alignment horizontal="left" vertical="center"/>
    </xf>
    <xf numFmtId="1" fontId="25" fillId="0" borderId="36" xfId="0" applyNumberFormat="1" applyFont="1" applyBorder="1" applyAlignment="1">
      <alignment horizontal="left" vertical="center"/>
    </xf>
    <xf numFmtId="1" fontId="14" fillId="0" borderId="32" xfId="0" applyNumberFormat="1" applyFont="1" applyBorder="1" applyAlignment="1">
      <alignment horizontal="left" vertical="center"/>
    </xf>
    <xf numFmtId="1" fontId="14" fillId="0" borderId="34" xfId="0" applyNumberFormat="1" applyFont="1" applyBorder="1" applyAlignment="1">
      <alignment horizontal="left" vertical="center"/>
    </xf>
    <xf numFmtId="1" fontId="14" fillId="0" borderId="3" xfId="0" applyNumberFormat="1" applyFont="1" applyBorder="1" applyAlignment="1">
      <alignment horizontal="left" vertical="center"/>
    </xf>
    <xf numFmtId="1" fontId="14" fillId="0" borderId="31" xfId="0" applyNumberFormat="1" applyFont="1" applyBorder="1" applyAlignment="1">
      <alignment horizontal="left" vertical="center"/>
    </xf>
    <xf numFmtId="2" fontId="13" fillId="0" borderId="7" xfId="0" applyNumberFormat="1" applyFont="1" applyBorder="1" applyAlignment="1">
      <alignment horizontal="left" vertical="center"/>
    </xf>
    <xf numFmtId="2" fontId="13" fillId="0" borderId="9" xfId="0" applyNumberFormat="1" applyFont="1" applyBorder="1" applyAlignment="1">
      <alignment horizontal="left" vertical="center"/>
    </xf>
    <xf numFmtId="2" fontId="13" fillId="0" borderId="19" xfId="0" applyNumberFormat="1" applyFont="1" applyBorder="1" applyAlignment="1">
      <alignment horizontal="left" vertical="center"/>
    </xf>
    <xf numFmtId="2" fontId="14" fillId="0" borderId="39" xfId="0" applyNumberFormat="1" applyFont="1" applyBorder="1" applyAlignment="1">
      <alignment horizontal="left" vertical="center"/>
    </xf>
    <xf numFmtId="2" fontId="14" fillId="0" borderId="42" xfId="0" applyNumberFormat="1" applyFont="1" applyBorder="1" applyAlignment="1">
      <alignment horizontal="left" vertical="center"/>
    </xf>
    <xf numFmtId="2" fontId="18" fillId="0" borderId="44" xfId="0" applyNumberFormat="1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2" fontId="14" fillId="0" borderId="43" xfId="0" applyNumberFormat="1" applyFont="1" applyBorder="1" applyAlignment="1">
      <alignment horizontal="left"/>
    </xf>
    <xf numFmtId="2" fontId="14" fillId="0" borderId="44" xfId="0" applyNumberFormat="1" applyFont="1" applyBorder="1" applyAlignment="1">
      <alignment horizontal="left"/>
    </xf>
    <xf numFmtId="2" fontId="13" fillId="0" borderId="28" xfId="2" applyNumberFormat="1" applyFont="1" applyBorder="1" applyAlignment="1">
      <alignment horizontal="left"/>
    </xf>
    <xf numFmtId="2" fontId="18" fillId="0" borderId="28" xfId="1" applyNumberFormat="1" applyFont="1" applyBorder="1" applyAlignment="1">
      <alignment horizontal="left"/>
    </xf>
    <xf numFmtId="2" fontId="29" fillId="0" borderId="70" xfId="1" applyNumberFormat="1" applyFont="1" applyBorder="1" applyAlignment="1">
      <alignment horizontal="left"/>
    </xf>
    <xf numFmtId="2" fontId="29" fillId="0" borderId="61" xfId="0" applyNumberFormat="1" applyFont="1" applyBorder="1" applyAlignment="1">
      <alignment horizontal="left"/>
    </xf>
    <xf numFmtId="2" fontId="19" fillId="0" borderId="75" xfId="0" applyNumberFormat="1" applyFont="1" applyBorder="1" applyAlignment="1">
      <alignment horizontal="left"/>
    </xf>
    <xf numFmtId="2" fontId="29" fillId="0" borderId="51" xfId="0" applyNumberFormat="1" applyFont="1" applyBorder="1" applyAlignment="1">
      <alignment horizontal="left"/>
    </xf>
    <xf numFmtId="2" fontId="19" fillId="0" borderId="51" xfId="0" applyNumberFormat="1" applyFont="1" applyBorder="1" applyAlignment="1">
      <alignment horizontal="left"/>
    </xf>
    <xf numFmtId="2" fontId="29" fillId="0" borderId="55" xfId="0" applyNumberFormat="1" applyFont="1" applyBorder="1" applyAlignment="1">
      <alignment horizontal="left"/>
    </xf>
    <xf numFmtId="165" fontId="22" fillId="0" borderId="28" xfId="0" applyNumberFormat="1" applyFont="1" applyBorder="1" applyAlignment="1">
      <alignment horizontal="left"/>
    </xf>
    <xf numFmtId="1" fontId="13" fillId="0" borderId="28" xfId="0" applyNumberFormat="1" applyFont="1" applyBorder="1" applyAlignment="1">
      <alignment horizontal="left"/>
    </xf>
    <xf numFmtId="1" fontId="4" fillId="0" borderId="72" xfId="0" applyNumberFormat="1" applyFont="1" applyBorder="1" applyAlignment="1">
      <alignment horizontal="left"/>
    </xf>
    <xf numFmtId="1" fontId="14" fillId="0" borderId="48" xfId="0" applyNumberFormat="1" applyFont="1" applyBorder="1" applyAlignment="1">
      <alignment horizontal="left"/>
    </xf>
    <xf numFmtId="1" fontId="1" fillId="0" borderId="14" xfId="0" applyNumberFormat="1" applyFont="1" applyBorder="1" applyAlignment="1">
      <alignment horizontal="left"/>
    </xf>
    <xf numFmtId="1" fontId="13" fillId="0" borderId="23" xfId="0" applyNumberFormat="1" applyFont="1" applyBorder="1" applyAlignment="1">
      <alignment horizontal="left"/>
    </xf>
    <xf numFmtId="0" fontId="25" fillId="0" borderId="61" xfId="0" applyFont="1" applyBorder="1" applyAlignment="1">
      <alignment horizontal="left"/>
    </xf>
    <xf numFmtId="1" fontId="13" fillId="0" borderId="9" xfId="0" applyNumberFormat="1" applyFont="1" applyBorder="1" applyAlignment="1">
      <alignment horizontal="left" vertical="center"/>
    </xf>
    <xf numFmtId="1" fontId="13" fillId="0" borderId="3" xfId="0" applyNumberFormat="1" applyFont="1" applyBorder="1" applyAlignment="1">
      <alignment horizontal="left" vertical="center"/>
    </xf>
    <xf numFmtId="1" fontId="13" fillId="0" borderId="22" xfId="0" applyNumberFormat="1" applyFont="1" applyBorder="1" applyAlignment="1">
      <alignment horizontal="left" vertical="center"/>
    </xf>
    <xf numFmtId="1" fontId="1" fillId="0" borderId="49" xfId="0" applyNumberFormat="1" applyFont="1" applyBorder="1" applyAlignment="1">
      <alignment horizontal="left" vertical="center"/>
    </xf>
    <xf numFmtId="1" fontId="4" fillId="0" borderId="0" xfId="0" applyNumberFormat="1" applyFont="1" applyAlignment="1">
      <alignment horizontal="left"/>
    </xf>
    <xf numFmtId="1" fontId="13" fillId="0" borderId="28" xfId="2" applyNumberFormat="1" applyFont="1" applyBorder="1" applyAlignment="1">
      <alignment horizontal="left"/>
    </xf>
    <xf numFmtId="1" fontId="1" fillId="0" borderId="72" xfId="0" applyNumberFormat="1" applyFont="1" applyBorder="1" applyAlignment="1">
      <alignment horizontal="left"/>
    </xf>
    <xf numFmtId="1" fontId="13" fillId="0" borderId="8" xfId="2" applyNumberFormat="1" applyFont="1" applyBorder="1" applyAlignment="1">
      <alignment horizontal="left"/>
    </xf>
    <xf numFmtId="1" fontId="13" fillId="0" borderId="4" xfId="2" applyNumberFormat="1" applyFont="1" applyBorder="1" applyAlignment="1">
      <alignment horizontal="left"/>
    </xf>
    <xf numFmtId="1" fontId="4" fillId="0" borderId="17" xfId="0" applyNumberFormat="1" applyFont="1" applyBorder="1" applyAlignment="1">
      <alignment horizontal="left"/>
    </xf>
    <xf numFmtId="1" fontId="18" fillId="0" borderId="13" xfId="0" applyNumberFormat="1" applyFont="1" applyBorder="1" applyAlignment="1">
      <alignment horizontal="left"/>
    </xf>
    <xf numFmtId="2" fontId="4" fillId="0" borderId="69" xfId="0" applyNumberFormat="1" applyFont="1" applyBorder="1" applyAlignment="1">
      <alignment horizontal="left"/>
    </xf>
    <xf numFmtId="0" fontId="4" fillId="0" borderId="72" xfId="0" applyFont="1" applyBorder="1" applyAlignment="1">
      <alignment horizontal="left"/>
    </xf>
    <xf numFmtId="1" fontId="25" fillId="0" borderId="79" xfId="0" applyNumberFormat="1" applyFont="1" applyBorder="1" applyAlignment="1">
      <alignment horizontal="left" vertical="center"/>
    </xf>
    <xf numFmtId="1" fontId="25" fillId="0" borderId="77" xfId="0" applyNumberFormat="1" applyFont="1" applyBorder="1" applyAlignment="1">
      <alignment horizontal="left" vertical="center"/>
    </xf>
    <xf numFmtId="3" fontId="15" fillId="0" borderId="34" xfId="0" applyNumberFormat="1" applyFont="1" applyBorder="1" applyAlignment="1">
      <alignment horizontal="left"/>
    </xf>
    <xf numFmtId="3" fontId="15" fillId="0" borderId="3" xfId="0" applyNumberFormat="1" applyFont="1" applyBorder="1" applyAlignment="1">
      <alignment horizontal="left"/>
    </xf>
    <xf numFmtId="3" fontId="15" fillId="0" borderId="31" xfId="0" applyNumberFormat="1" applyFont="1" applyBorder="1" applyAlignment="1">
      <alignment horizontal="left"/>
    </xf>
    <xf numFmtId="1" fontId="13" fillId="0" borderId="28" xfId="1" applyNumberFormat="1" applyFont="1" applyBorder="1" applyAlignment="1">
      <alignment horizontal="left"/>
    </xf>
    <xf numFmtId="1" fontId="4" fillId="0" borderId="72" xfId="1" applyNumberFormat="1" applyFont="1" applyBorder="1" applyAlignment="1">
      <alignment horizontal="left"/>
    </xf>
    <xf numFmtId="1" fontId="1" fillId="0" borderId="0" xfId="0" applyNumberFormat="1" applyFont="1" applyAlignment="1">
      <alignment horizontal="left"/>
    </xf>
    <xf numFmtId="3" fontId="15" fillId="0" borderId="62" xfId="0" applyNumberFormat="1" applyFont="1" applyBorder="1" applyAlignment="1">
      <alignment horizontal="left"/>
    </xf>
    <xf numFmtId="0" fontId="21" fillId="0" borderId="74" xfId="0" applyFont="1" applyBorder="1" applyAlignment="1">
      <alignment horizontal="left" vertical="center"/>
    </xf>
    <xf numFmtId="1" fontId="36" fillId="0" borderId="67" xfId="0" applyNumberFormat="1" applyFont="1" applyBorder="1" applyAlignment="1">
      <alignment horizontal="left"/>
    </xf>
    <xf numFmtId="1" fontId="23" fillId="0" borderId="1" xfId="2" applyNumberFormat="1" applyFont="1" applyBorder="1" applyAlignment="1">
      <alignment horizontal="left"/>
    </xf>
    <xf numFmtId="1" fontId="23" fillId="0" borderId="18" xfId="0" applyNumberFormat="1" applyFont="1" applyBorder="1" applyAlignment="1">
      <alignment horizontal="left"/>
    </xf>
    <xf numFmtId="1" fontId="36" fillId="0" borderId="73" xfId="0" applyNumberFormat="1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3" fontId="23" fillId="0" borderId="1" xfId="0" applyNumberFormat="1" applyFont="1" applyBorder="1" applyAlignment="1">
      <alignment horizontal="left"/>
    </xf>
    <xf numFmtId="0" fontId="47" fillId="0" borderId="1" xfId="0" applyFont="1" applyBorder="1" applyAlignment="1">
      <alignment horizontal="left"/>
    </xf>
    <xf numFmtId="3" fontId="36" fillId="0" borderId="12" xfId="0" applyNumberFormat="1" applyFont="1" applyBorder="1" applyAlignment="1">
      <alignment horizontal="left"/>
    </xf>
    <xf numFmtId="1" fontId="36" fillId="0" borderId="63" xfId="0" applyNumberFormat="1" applyFont="1" applyBorder="1" applyAlignment="1">
      <alignment horizontal="left"/>
    </xf>
    <xf numFmtId="1" fontId="23" fillId="0" borderId="13" xfId="1" applyNumberFormat="1" applyFont="1" applyBorder="1" applyAlignment="1">
      <alignment horizontal="left"/>
    </xf>
    <xf numFmtId="1" fontId="23" fillId="0" borderId="15" xfId="0" applyNumberFormat="1" applyFont="1" applyBorder="1" applyAlignment="1">
      <alignment horizontal="left" vertical="center"/>
    </xf>
    <xf numFmtId="2" fontId="23" fillId="0" borderId="18" xfId="0" applyNumberFormat="1" applyFont="1" applyBorder="1" applyAlignment="1">
      <alignment horizontal="left"/>
    </xf>
    <xf numFmtId="2" fontId="36" fillId="0" borderId="73" xfId="0" applyNumberFormat="1" applyFont="1" applyBorder="1" applyAlignment="1">
      <alignment horizontal="left"/>
    </xf>
    <xf numFmtId="2" fontId="23" fillId="0" borderId="1" xfId="1" applyNumberFormat="1" applyFont="1" applyBorder="1" applyAlignment="1">
      <alignment horizontal="left"/>
    </xf>
    <xf numFmtId="1" fontId="21" fillId="0" borderId="3" xfId="2" applyNumberFormat="1" applyFont="1" applyBorder="1" applyAlignment="1">
      <alignment horizontal="left"/>
    </xf>
    <xf numFmtId="1" fontId="23" fillId="0" borderId="19" xfId="2" applyNumberFormat="1" applyFont="1" applyBorder="1" applyAlignment="1">
      <alignment horizontal="left"/>
    </xf>
    <xf numFmtId="1" fontId="24" fillId="0" borderId="3" xfId="0" applyNumberFormat="1" applyFont="1" applyBorder="1" applyAlignment="1">
      <alignment horizontal="left"/>
    </xf>
    <xf numFmtId="1" fontId="36" fillId="0" borderId="66" xfId="0" applyNumberFormat="1" applyFont="1" applyBorder="1" applyAlignment="1">
      <alignment horizontal="left"/>
    </xf>
    <xf numFmtId="1" fontId="21" fillId="0" borderId="4" xfId="1" applyNumberFormat="1" applyFont="1" applyBorder="1" applyAlignment="1">
      <alignment horizontal="left"/>
    </xf>
    <xf numFmtId="1" fontId="23" fillId="0" borderId="20" xfId="1" applyNumberFormat="1" applyFont="1" applyBorder="1" applyAlignment="1">
      <alignment horizontal="left"/>
    </xf>
    <xf numFmtId="1" fontId="21" fillId="0" borderId="29" xfId="0" applyNumberFormat="1" applyFont="1" applyBorder="1" applyAlignment="1">
      <alignment horizontal="left"/>
    </xf>
    <xf numFmtId="1" fontId="22" fillId="0" borderId="4" xfId="0" applyNumberFormat="1" applyFont="1" applyBorder="1" applyAlignment="1">
      <alignment horizontal="left"/>
    </xf>
    <xf numFmtId="1" fontId="24" fillId="0" borderId="4" xfId="0" applyNumberFormat="1" applyFont="1" applyBorder="1" applyAlignment="1">
      <alignment horizontal="left"/>
    </xf>
    <xf numFmtId="1" fontId="22" fillId="0" borderId="20" xfId="0" applyNumberFormat="1" applyFont="1" applyBorder="1" applyAlignment="1">
      <alignment horizontal="left"/>
    </xf>
    <xf numFmtId="1" fontId="21" fillId="0" borderId="29" xfId="1" applyNumberFormat="1" applyFont="1" applyBorder="1" applyAlignment="1">
      <alignment horizontal="left"/>
    </xf>
    <xf numFmtId="1" fontId="36" fillId="0" borderId="55" xfId="1" applyNumberFormat="1" applyFont="1" applyBorder="1" applyAlignment="1">
      <alignment horizontal="left"/>
    </xf>
    <xf numFmtId="1" fontId="21" fillId="0" borderId="13" xfId="1" applyNumberFormat="1" applyFont="1" applyBorder="1" applyAlignment="1">
      <alignment horizontal="left"/>
    </xf>
    <xf numFmtId="1" fontId="24" fillId="0" borderId="15" xfId="0" applyNumberFormat="1" applyFont="1" applyBorder="1" applyAlignment="1">
      <alignment horizontal="left"/>
    </xf>
    <xf numFmtId="1" fontId="21" fillId="0" borderId="16" xfId="0" applyNumberFormat="1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left"/>
    </xf>
    <xf numFmtId="1" fontId="21" fillId="0" borderId="18" xfId="1" applyNumberFormat="1" applyFont="1" applyBorder="1" applyAlignment="1">
      <alignment horizontal="left"/>
    </xf>
    <xf numFmtId="0" fontId="24" fillId="0" borderId="30" xfId="0" applyFont="1" applyBorder="1" applyAlignment="1">
      <alignment horizontal="left"/>
    </xf>
    <xf numFmtId="1" fontId="23" fillId="0" borderId="69" xfId="0" applyNumberFormat="1" applyFont="1" applyBorder="1" applyAlignment="1">
      <alignment horizontal="left"/>
    </xf>
    <xf numFmtId="1" fontId="23" fillId="0" borderId="56" xfId="0" applyNumberFormat="1" applyFont="1" applyBorder="1" applyAlignment="1">
      <alignment horizontal="left"/>
    </xf>
    <xf numFmtId="1" fontId="23" fillId="0" borderId="72" xfId="0" applyNumberFormat="1" applyFont="1" applyBorder="1" applyAlignment="1">
      <alignment horizontal="left"/>
    </xf>
    <xf numFmtId="1" fontId="23" fillId="0" borderId="65" xfId="0" applyNumberFormat="1" applyFont="1" applyBorder="1" applyAlignment="1">
      <alignment horizontal="left"/>
    </xf>
    <xf numFmtId="1" fontId="37" fillId="0" borderId="65" xfId="0" applyNumberFormat="1" applyFont="1" applyBorder="1" applyAlignment="1">
      <alignment horizontal="left"/>
    </xf>
    <xf numFmtId="2" fontId="36" fillId="0" borderId="56" xfId="0" applyNumberFormat="1" applyFont="1" applyBorder="1" applyAlignment="1">
      <alignment horizontal="left" vertical="center"/>
    </xf>
    <xf numFmtId="2" fontId="36" fillId="0" borderId="53" xfId="0" applyNumberFormat="1" applyFont="1" applyBorder="1" applyAlignment="1">
      <alignment horizontal="left" vertical="center"/>
    </xf>
    <xf numFmtId="2" fontId="36" fillId="0" borderId="61" xfId="0" applyNumberFormat="1" applyFont="1" applyBorder="1" applyAlignment="1">
      <alignment horizontal="left" vertical="center"/>
    </xf>
    <xf numFmtId="2" fontId="36" fillId="0" borderId="54" xfId="0" applyNumberFormat="1" applyFont="1" applyBorder="1" applyAlignment="1">
      <alignment horizontal="left" vertical="center"/>
    </xf>
    <xf numFmtId="0" fontId="23" fillId="0" borderId="70" xfId="0" applyFont="1" applyBorder="1" applyAlignment="1">
      <alignment horizontal="left"/>
    </xf>
    <xf numFmtId="1" fontId="23" fillId="0" borderId="80" xfId="0" applyNumberFormat="1" applyFont="1" applyBorder="1" applyAlignment="1">
      <alignment horizontal="left"/>
    </xf>
    <xf numFmtId="0" fontId="23" fillId="0" borderId="69" xfId="0" applyFont="1" applyBorder="1" applyAlignment="1">
      <alignment horizontal="left"/>
    </xf>
    <xf numFmtId="1" fontId="21" fillId="0" borderId="54" xfId="0" applyNumberFormat="1" applyFont="1" applyBorder="1" applyAlignment="1">
      <alignment horizontal="left"/>
    </xf>
    <xf numFmtId="1" fontId="23" fillId="0" borderId="61" xfId="0" applyNumberFormat="1" applyFont="1" applyBorder="1" applyAlignment="1">
      <alignment horizontal="left"/>
    </xf>
    <xf numFmtId="1" fontId="23" fillId="0" borderId="57" xfId="0" applyNumberFormat="1" applyFont="1" applyBorder="1" applyAlignment="1">
      <alignment horizontal="left"/>
    </xf>
    <xf numFmtId="1" fontId="21" fillId="0" borderId="57" xfId="0" applyNumberFormat="1" applyFont="1" applyBorder="1" applyAlignment="1">
      <alignment horizontal="left"/>
    </xf>
    <xf numFmtId="1" fontId="40" fillId="0" borderId="24" xfId="0" applyNumberFormat="1" applyFont="1" applyBorder="1" applyAlignment="1">
      <alignment horizontal="left" vertical="center"/>
    </xf>
    <xf numFmtId="2" fontId="14" fillId="0" borderId="62" xfId="0" applyNumberFormat="1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0" fontId="48" fillId="0" borderId="0" xfId="0" applyFont="1"/>
    <xf numFmtId="0" fontId="24" fillId="0" borderId="48" xfId="0" applyFont="1" applyBorder="1" applyAlignment="1">
      <alignment horizontal="left"/>
    </xf>
    <xf numFmtId="0" fontId="17" fillId="0" borderId="8" xfId="0" applyFont="1" applyBorder="1"/>
    <xf numFmtId="0" fontId="17" fillId="0" borderId="28" xfId="0" applyFont="1" applyBorder="1"/>
    <xf numFmtId="0" fontId="17" fillId="0" borderId="7" xfId="0" applyFont="1" applyBorder="1"/>
    <xf numFmtId="0" fontId="17" fillId="0" borderId="9" xfId="0" applyFont="1" applyBorder="1"/>
    <xf numFmtId="0" fontId="17" fillId="0" borderId="13" xfId="0" applyFont="1" applyBorder="1"/>
    <xf numFmtId="0" fontId="17" fillId="0" borderId="1" xfId="0" applyFont="1" applyBorder="1"/>
    <xf numFmtId="0" fontId="18" fillId="0" borderId="13" xfId="0" applyFont="1" applyBorder="1" applyAlignment="1">
      <alignment horizontal="center"/>
    </xf>
    <xf numFmtId="0" fontId="24" fillId="0" borderId="15" xfId="0" applyFont="1" applyBorder="1" applyAlignment="1">
      <alignment horizontal="left"/>
    </xf>
    <xf numFmtId="0" fontId="19" fillId="0" borderId="13" xfId="0" applyFont="1" applyBorder="1" applyAlignment="1">
      <alignment horizontal="center"/>
    </xf>
    <xf numFmtId="0" fontId="49" fillId="0" borderId="1" xfId="0" applyFont="1" applyBorder="1"/>
    <xf numFmtId="0" fontId="49" fillId="0" borderId="3" xfId="0" applyFont="1" applyBorder="1"/>
    <xf numFmtId="0" fontId="49" fillId="0" borderId="0" xfId="0" applyFont="1"/>
    <xf numFmtId="0" fontId="24" fillId="0" borderId="45" xfId="0" applyFont="1" applyBorder="1" applyAlignment="1">
      <alignment horizontal="left"/>
    </xf>
    <xf numFmtId="0" fontId="49" fillId="0" borderId="67" xfId="0" applyFont="1" applyBorder="1"/>
    <xf numFmtId="0" fontId="49" fillId="0" borderId="12" xfId="0" applyFont="1" applyBorder="1"/>
    <xf numFmtId="0" fontId="49" fillId="0" borderId="31" xfId="0" applyFont="1" applyBorder="1"/>
    <xf numFmtId="0" fontId="24" fillId="0" borderId="53" xfId="0" applyFont="1" applyBorder="1" applyAlignment="1">
      <alignment horizontal="left"/>
    </xf>
    <xf numFmtId="0" fontId="36" fillId="0" borderId="61" xfId="0" applyFont="1" applyBorder="1" applyAlignment="1">
      <alignment horizontal="left" vertical="justify" wrapText="1"/>
    </xf>
    <xf numFmtId="0" fontId="36" fillId="0" borderId="53" xfId="0" applyFont="1" applyBorder="1" applyAlignment="1">
      <alignment horizontal="left" vertical="justify" wrapText="1"/>
    </xf>
    <xf numFmtId="0" fontId="23" fillId="0" borderId="0" xfId="0" applyFont="1"/>
    <xf numFmtId="0" fontId="37" fillId="0" borderId="0" xfId="0" applyFont="1"/>
    <xf numFmtId="0" fontId="17" fillId="0" borderId="48" xfId="0" applyFont="1" applyBorder="1"/>
    <xf numFmtId="0" fontId="17" fillId="0" borderId="10" xfId="0" applyFont="1" applyBorder="1"/>
    <xf numFmtId="0" fontId="17" fillId="0" borderId="75" xfId="0" applyFont="1" applyBorder="1"/>
    <xf numFmtId="0" fontId="31" fillId="0" borderId="44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23" fillId="0" borderId="75" xfId="0" applyFont="1" applyBorder="1" applyAlignment="1">
      <alignment horizontal="left"/>
    </xf>
    <xf numFmtId="0" fontId="23" fillId="0" borderId="48" xfId="0" applyFont="1" applyBorder="1" applyAlignment="1">
      <alignment horizontal="left"/>
    </xf>
    <xf numFmtId="0" fontId="50" fillId="0" borderId="15" xfId="0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23" fillId="0" borderId="18" xfId="0" applyFont="1" applyBorder="1" applyAlignment="1">
      <alignment horizontal="left"/>
    </xf>
    <xf numFmtId="3" fontId="22" fillId="0" borderId="16" xfId="0" applyNumberFormat="1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23" fillId="0" borderId="78" xfId="0" applyFont="1" applyBorder="1" applyAlignment="1">
      <alignment horizontal="left"/>
    </xf>
    <xf numFmtId="3" fontId="22" fillId="0" borderId="24" xfId="0" applyNumberFormat="1" applyFont="1" applyBorder="1" applyAlignment="1">
      <alignment horizontal="left"/>
    </xf>
    <xf numFmtId="3" fontId="22" fillId="0" borderId="17" xfId="0" applyNumberFormat="1" applyFont="1" applyBorder="1" applyAlignment="1">
      <alignment horizontal="left"/>
    </xf>
    <xf numFmtId="0" fontId="37" fillId="0" borderId="57" xfId="0" applyFont="1" applyBorder="1" applyAlignment="1">
      <alignment horizontal="left"/>
    </xf>
    <xf numFmtId="3" fontId="37" fillId="0" borderId="57" xfId="0" applyNumberFormat="1" applyFont="1" applyBorder="1" applyAlignment="1">
      <alignment horizontal="left"/>
    </xf>
    <xf numFmtId="0" fontId="51" fillId="0" borderId="58" xfId="0" applyFont="1" applyBorder="1"/>
    <xf numFmtId="0" fontId="51" fillId="0" borderId="7" xfId="0" applyFont="1" applyBorder="1" applyAlignment="1">
      <alignment horizontal="left"/>
    </xf>
    <xf numFmtId="0" fontId="51" fillId="0" borderId="9" xfId="0" applyFont="1" applyBorder="1" applyAlignment="1">
      <alignment horizontal="left"/>
    </xf>
    <xf numFmtId="0" fontId="51" fillId="0" borderId="37" xfId="0" applyFont="1" applyBorder="1" applyAlignment="1">
      <alignment horizontal="left"/>
    </xf>
    <xf numFmtId="2" fontId="14" fillId="0" borderId="67" xfId="0" applyNumberFormat="1" applyFont="1" applyBorder="1" applyAlignment="1">
      <alignment horizontal="left"/>
    </xf>
    <xf numFmtId="2" fontId="14" fillId="0" borderId="1" xfId="0" applyNumberFormat="1" applyFont="1" applyBorder="1" applyAlignment="1">
      <alignment horizontal="left" vertical="top" shrinkToFit="1"/>
    </xf>
    <xf numFmtId="2" fontId="14" fillId="0" borderId="13" xfId="0" applyNumberFormat="1" applyFont="1" applyBorder="1" applyAlignment="1">
      <alignment horizontal="left" vertical="top" shrinkToFit="1"/>
    </xf>
    <xf numFmtId="2" fontId="14" fillId="0" borderId="12" xfId="0" applyNumberFormat="1" applyFont="1" applyBorder="1" applyAlignment="1">
      <alignment horizontal="left" vertical="top" shrinkToFit="1"/>
    </xf>
    <xf numFmtId="2" fontId="14" fillId="0" borderId="67" xfId="0" applyNumberFormat="1" applyFont="1" applyBorder="1" applyAlignment="1">
      <alignment horizontal="left" vertical="top" shrinkToFit="1"/>
    </xf>
    <xf numFmtId="2" fontId="36" fillId="0" borderId="35" xfId="0" applyNumberFormat="1" applyFont="1" applyBorder="1" applyAlignment="1">
      <alignment horizontal="left" vertical="center"/>
    </xf>
    <xf numFmtId="2" fontId="36" fillId="0" borderId="80" xfId="0" applyNumberFormat="1" applyFont="1" applyBorder="1" applyAlignment="1">
      <alignment horizontal="left" vertical="center"/>
    </xf>
    <xf numFmtId="2" fontId="23" fillId="0" borderId="12" xfId="2" applyNumberFormat="1" applyFont="1" applyBorder="1" applyAlignment="1">
      <alignment horizontal="left"/>
    </xf>
    <xf numFmtId="2" fontId="23" fillId="0" borderId="31" xfId="2" applyNumberFormat="1" applyFont="1" applyBorder="1" applyAlignment="1">
      <alignment horizontal="left"/>
    </xf>
    <xf numFmtId="1" fontId="36" fillId="0" borderId="61" xfId="0" applyNumberFormat="1" applyFont="1" applyBorder="1" applyAlignment="1">
      <alignment horizontal="center" vertical="justify" wrapText="1"/>
    </xf>
    <xf numFmtId="0" fontId="17" fillId="0" borderId="32" xfId="0" applyFont="1" applyBorder="1"/>
    <xf numFmtId="0" fontId="23" fillId="0" borderId="28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3" fillId="0" borderId="72" xfId="0" applyFont="1" applyBorder="1" applyAlignment="1">
      <alignment horizontal="left"/>
    </xf>
    <xf numFmtId="0" fontId="37" fillId="0" borderId="55" xfId="0" applyFont="1" applyBorder="1" applyAlignment="1">
      <alignment horizontal="left"/>
    </xf>
    <xf numFmtId="0" fontId="23" fillId="0" borderId="38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37" fillId="0" borderId="53" xfId="0" applyFont="1" applyBorder="1" applyAlignment="1">
      <alignment horizontal="left"/>
    </xf>
    <xf numFmtId="0" fontId="23" fillId="0" borderId="60" xfId="0" applyFont="1" applyBorder="1" applyAlignment="1">
      <alignment horizontal="left"/>
    </xf>
    <xf numFmtId="0" fontId="23" fillId="0" borderId="29" xfId="0" applyFont="1" applyBorder="1" applyAlignment="1">
      <alignment horizontal="left"/>
    </xf>
    <xf numFmtId="0" fontId="23" fillId="0" borderId="30" xfId="0" applyFont="1" applyBorder="1" applyAlignment="1">
      <alignment horizontal="left"/>
    </xf>
    <xf numFmtId="0" fontId="37" fillId="0" borderId="61" xfId="0" applyFont="1" applyBorder="1" applyAlignment="1">
      <alignment horizontal="left"/>
    </xf>
    <xf numFmtId="0" fontId="23" fillId="0" borderId="53" xfId="0" applyFont="1" applyBorder="1" applyAlignment="1">
      <alignment horizontal="left"/>
    </xf>
    <xf numFmtId="0" fontId="23" fillId="0" borderId="60" xfId="0" applyFont="1" applyBorder="1"/>
    <xf numFmtId="0" fontId="23" fillId="0" borderId="3" xfId="0" applyFont="1" applyBorder="1"/>
    <xf numFmtId="0" fontId="23" fillId="0" borderId="29" xfId="0" applyFont="1" applyBorder="1"/>
    <xf numFmtId="0" fontId="36" fillId="0" borderId="53" xfId="0" applyFont="1" applyBorder="1" applyAlignment="1">
      <alignment horizontal="fill" vertical="justify" wrapText="1"/>
    </xf>
    <xf numFmtId="0" fontId="37" fillId="0" borderId="0" xfId="0" applyFont="1" applyAlignment="1">
      <alignment horizontal="fill" vertical="justify" wrapText="1"/>
    </xf>
    <xf numFmtId="0" fontId="36" fillId="0" borderId="57" xfId="0" applyFont="1" applyBorder="1" applyAlignment="1">
      <alignment horizontal="justify" vertical="justify" wrapText="1"/>
    </xf>
    <xf numFmtId="0" fontId="36" fillId="0" borderId="53" xfId="0" applyFont="1" applyBorder="1" applyAlignment="1">
      <alignment horizontal="justify" vertical="justify" wrapText="1"/>
    </xf>
    <xf numFmtId="0" fontId="51" fillId="0" borderId="59" xfId="0" applyFont="1" applyBorder="1"/>
    <xf numFmtId="0" fontId="34" fillId="0" borderId="46" xfId="0" applyFont="1" applyBorder="1"/>
    <xf numFmtId="0" fontId="34" fillId="0" borderId="45" xfId="0" applyFont="1" applyBorder="1"/>
    <xf numFmtId="0" fontId="34" fillId="0" borderId="12" xfId="0" applyFont="1" applyBorder="1"/>
    <xf numFmtId="0" fontId="34" fillId="0" borderId="31" xfId="0" applyFont="1" applyBorder="1"/>
    <xf numFmtId="0" fontId="17" fillId="0" borderId="74" xfId="0" applyFont="1" applyBorder="1"/>
    <xf numFmtId="0" fontId="34" fillId="0" borderId="67" xfId="0" applyFont="1" applyBorder="1"/>
    <xf numFmtId="1" fontId="19" fillId="0" borderId="15" xfId="0" applyNumberFormat="1" applyFont="1" applyBorder="1" applyAlignment="1">
      <alignment horizontal="left" vertical="center"/>
    </xf>
    <xf numFmtId="1" fontId="18" fillId="0" borderId="19" xfId="1" applyNumberFormat="1" applyFont="1" applyBorder="1" applyAlignment="1">
      <alignment horizontal="left"/>
    </xf>
    <xf numFmtId="1" fontId="19" fillId="0" borderId="72" xfId="0" applyNumberFormat="1" applyFont="1" applyBorder="1" applyAlignment="1">
      <alignment horizontal="left" vertical="center"/>
    </xf>
    <xf numFmtId="1" fontId="19" fillId="0" borderId="69" xfId="0" applyNumberFormat="1" applyFont="1" applyBorder="1" applyAlignment="1">
      <alignment horizontal="left" vertical="center"/>
    </xf>
    <xf numFmtId="1" fontId="19" fillId="0" borderId="19" xfId="0" applyNumberFormat="1" applyFont="1" applyBorder="1" applyAlignment="1">
      <alignment horizontal="left" vertical="center"/>
    </xf>
    <xf numFmtId="1" fontId="19" fillId="0" borderId="38" xfId="0" applyNumberFormat="1" applyFont="1" applyBorder="1" applyAlignment="1">
      <alignment horizontal="left" vertical="center"/>
    </xf>
    <xf numFmtId="1" fontId="18" fillId="0" borderId="7" xfId="1" applyNumberFormat="1" applyFont="1" applyBorder="1" applyAlignment="1">
      <alignment horizontal="left"/>
    </xf>
    <xf numFmtId="1" fontId="18" fillId="0" borderId="28" xfId="1" applyNumberFormat="1" applyFont="1" applyBorder="1" applyAlignment="1">
      <alignment horizontal="left"/>
    </xf>
    <xf numFmtId="1" fontId="18" fillId="0" borderId="7" xfId="0" applyNumberFormat="1" applyFont="1" applyBorder="1" applyAlignment="1">
      <alignment horizontal="left"/>
    </xf>
    <xf numFmtId="1" fontId="18" fillId="0" borderId="28" xfId="0" applyNumberFormat="1" applyFont="1" applyBorder="1" applyAlignment="1">
      <alignment horizontal="left"/>
    </xf>
    <xf numFmtId="1" fontId="18" fillId="0" borderId="28" xfId="0" applyNumberFormat="1" applyFont="1" applyBorder="1" applyAlignment="1">
      <alignment horizontal="left" vertical="center"/>
    </xf>
    <xf numFmtId="1" fontId="19" fillId="0" borderId="9" xfId="0" applyNumberFormat="1" applyFont="1" applyBorder="1" applyAlignment="1">
      <alignment horizontal="left" vertical="center"/>
    </xf>
    <xf numFmtId="1" fontId="38" fillId="0" borderId="56" xfId="0" applyNumberFormat="1" applyFont="1" applyBorder="1" applyAlignment="1">
      <alignment horizontal="left"/>
    </xf>
    <xf numFmtId="1" fontId="38" fillId="0" borderId="65" xfId="0" applyNumberFormat="1" applyFont="1" applyBorder="1" applyAlignment="1">
      <alignment horizontal="left"/>
    </xf>
    <xf numFmtId="1" fontId="18" fillId="0" borderId="56" xfId="0" applyNumberFormat="1" applyFont="1" applyBorder="1" applyAlignment="1">
      <alignment horizontal="left" vertical="center"/>
    </xf>
    <xf numFmtId="1" fontId="18" fillId="0" borderId="61" xfId="0" applyNumberFormat="1" applyFont="1" applyBorder="1" applyAlignment="1">
      <alignment horizontal="left" vertical="center"/>
    </xf>
    <xf numFmtId="1" fontId="38" fillId="0" borderId="61" xfId="0" applyNumberFormat="1" applyFont="1" applyBorder="1" applyAlignment="1">
      <alignment horizontal="left"/>
    </xf>
    <xf numFmtId="1" fontId="18" fillId="0" borderId="66" xfId="0" applyNumberFormat="1" applyFont="1" applyBorder="1" applyAlignment="1">
      <alignment horizontal="left" vertical="center"/>
    </xf>
    <xf numFmtId="0" fontId="49" fillId="0" borderId="29" xfId="0" applyFont="1" applyBorder="1"/>
    <xf numFmtId="2" fontId="19" fillId="0" borderId="15" xfId="1" applyNumberFormat="1" applyFont="1" applyBorder="1" applyAlignment="1">
      <alignment horizontal="right"/>
    </xf>
    <xf numFmtId="2" fontId="19" fillId="0" borderId="16" xfId="1" applyNumberFormat="1" applyFont="1" applyBorder="1" applyAlignment="1">
      <alignment horizontal="right"/>
    </xf>
    <xf numFmtId="2" fontId="20" fillId="0" borderId="47" xfId="0" applyNumberFormat="1" applyFont="1" applyBorder="1" applyAlignment="1">
      <alignment horizontal="left"/>
    </xf>
    <xf numFmtId="2" fontId="20" fillId="0" borderId="33" xfId="0" applyNumberFormat="1" applyFont="1" applyBorder="1" applyAlignment="1">
      <alignment horizontal="left"/>
    </xf>
    <xf numFmtId="2" fontId="20" fillId="0" borderId="4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0" fontId="37" fillId="0" borderId="15" xfId="0" applyFont="1" applyBorder="1" applyAlignment="1">
      <alignment horizontal="left"/>
    </xf>
    <xf numFmtId="0" fontId="33" fillId="0" borderId="6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3" fillId="0" borderId="20" xfId="0" applyFont="1" applyBorder="1" applyAlignment="1">
      <alignment horizontal="left"/>
    </xf>
    <xf numFmtId="0" fontId="23" fillId="0" borderId="50" xfId="0" applyFont="1" applyBorder="1" applyAlignment="1">
      <alignment horizontal="left"/>
    </xf>
    <xf numFmtId="0" fontId="23" fillId="0" borderId="7" xfId="0" applyFont="1" applyBorder="1"/>
    <xf numFmtId="0" fontId="23" fillId="0" borderId="10" xfId="0" applyFont="1" applyBorder="1"/>
    <xf numFmtId="0" fontId="23" fillId="0" borderId="1" xfId="0" applyFont="1" applyBorder="1"/>
    <xf numFmtId="0" fontId="23" fillId="0" borderId="16" xfId="0" applyFont="1" applyBorder="1"/>
    <xf numFmtId="0" fontId="23" fillId="0" borderId="19" xfId="0" applyFont="1" applyBorder="1"/>
    <xf numFmtId="0" fontId="23" fillId="0" borderId="24" xfId="0" applyFont="1" applyBorder="1"/>
    <xf numFmtId="0" fontId="23" fillId="0" borderId="69" xfId="0" applyFont="1" applyBorder="1"/>
    <xf numFmtId="0" fontId="23" fillId="0" borderId="17" xfId="0" applyFont="1" applyBorder="1"/>
    <xf numFmtId="0" fontId="31" fillId="0" borderId="0" xfId="0" applyFont="1" applyAlignment="1">
      <alignment horizontal="left"/>
    </xf>
    <xf numFmtId="2" fontId="14" fillId="0" borderId="12" xfId="0" applyNumberFormat="1" applyFont="1" applyBorder="1" applyAlignment="1">
      <alignment horizontal="left" vertical="center"/>
    </xf>
    <xf numFmtId="2" fontId="14" fillId="0" borderId="46" xfId="0" applyNumberFormat="1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left"/>
    </xf>
    <xf numFmtId="2" fontId="1" fillId="0" borderId="67" xfId="0" applyNumberFormat="1" applyFont="1" applyBorder="1" applyAlignment="1">
      <alignment horizontal="left"/>
    </xf>
    <xf numFmtId="2" fontId="14" fillId="0" borderId="11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left" vertical="top" wrapText="1"/>
    </xf>
    <xf numFmtId="2" fontId="14" fillId="0" borderId="18" xfId="0" applyNumberFormat="1" applyFont="1" applyBorder="1" applyAlignment="1">
      <alignment horizontal="left" vertical="center"/>
    </xf>
    <xf numFmtId="2" fontId="14" fillId="0" borderId="13" xfId="2" applyNumberFormat="1" applyFont="1" applyBorder="1" applyAlignment="1">
      <alignment horizontal="left"/>
    </xf>
    <xf numFmtId="2" fontId="14" fillId="0" borderId="1" xfId="0" applyNumberFormat="1" applyFont="1" applyBorder="1" applyAlignment="1">
      <alignment horizontal="left" wrapText="1"/>
    </xf>
    <xf numFmtId="2" fontId="14" fillId="0" borderId="13" xfId="1" applyNumberFormat="1" applyFont="1" applyBorder="1" applyAlignment="1">
      <alignment horizontal="left"/>
    </xf>
    <xf numFmtId="2" fontId="14" fillId="0" borderId="0" xfId="0" applyNumberFormat="1" applyFont="1" applyAlignment="1">
      <alignment horizontal="left"/>
    </xf>
    <xf numFmtId="2" fontId="1" fillId="0" borderId="45" xfId="0" applyNumberFormat="1" applyFont="1" applyBorder="1" applyAlignment="1">
      <alignment horizontal="left" vertical="top" wrapText="1"/>
    </xf>
    <xf numFmtId="2" fontId="14" fillId="0" borderId="12" xfId="2" applyNumberFormat="1" applyFont="1" applyBorder="1" applyAlignment="1">
      <alignment horizontal="left"/>
    </xf>
    <xf numFmtId="2" fontId="14" fillId="0" borderId="67" xfId="2" applyNumberFormat="1" applyFont="1" applyBorder="1" applyAlignment="1">
      <alignment horizontal="left"/>
    </xf>
    <xf numFmtId="2" fontId="14" fillId="0" borderId="12" xfId="0" applyNumberFormat="1" applyFont="1" applyBorder="1" applyAlignment="1">
      <alignment horizontal="left" wrapText="1"/>
    </xf>
    <xf numFmtId="2" fontId="14" fillId="0" borderId="12" xfId="1" applyNumberFormat="1" applyFont="1" applyBorder="1" applyAlignment="1">
      <alignment horizontal="left"/>
    </xf>
    <xf numFmtId="2" fontId="14" fillId="0" borderId="67" xfId="1" applyNumberFormat="1" applyFont="1" applyBorder="1" applyAlignment="1">
      <alignment horizontal="left"/>
    </xf>
    <xf numFmtId="0" fontId="54" fillId="0" borderId="10" xfId="0" applyFont="1" applyBorder="1" applyAlignment="1">
      <alignment horizontal="left"/>
    </xf>
    <xf numFmtId="0" fontId="42" fillId="0" borderId="15" xfId="0" applyFont="1" applyBorder="1" applyAlignment="1">
      <alignment horizontal="left"/>
    </xf>
    <xf numFmtId="0" fontId="44" fillId="0" borderId="13" xfId="0" applyFont="1" applyBorder="1" applyAlignment="1">
      <alignment horizontal="center"/>
    </xf>
    <xf numFmtId="0" fontId="43" fillId="0" borderId="1" xfId="0" applyFont="1" applyBorder="1"/>
    <xf numFmtId="0" fontId="43" fillId="0" borderId="3" xfId="0" applyFont="1" applyBorder="1"/>
    <xf numFmtId="0" fontId="55" fillId="0" borderId="1" xfId="0" applyFont="1" applyBorder="1"/>
    <xf numFmtId="0" fontId="44" fillId="0" borderId="3" xfId="0" applyFont="1" applyBorder="1" applyAlignment="1">
      <alignment horizontal="center"/>
    </xf>
    <xf numFmtId="0" fontId="55" fillId="0" borderId="3" xfId="0" applyFont="1" applyBorder="1"/>
    <xf numFmtId="0" fontId="44" fillId="0" borderId="16" xfId="0" applyFont="1" applyBorder="1" applyAlignment="1">
      <alignment horizontal="center"/>
    </xf>
    <xf numFmtId="0" fontId="49" fillId="0" borderId="16" xfId="0" applyFont="1" applyBorder="1"/>
    <xf numFmtId="0" fontId="44" fillId="0" borderId="18" xfId="0" applyFont="1" applyBorder="1" applyAlignment="1">
      <alignment horizontal="center"/>
    </xf>
    <xf numFmtId="0" fontId="43" fillId="0" borderId="16" xfId="0" applyFont="1" applyBorder="1"/>
    <xf numFmtId="0" fontId="49" fillId="0" borderId="63" xfId="0" applyFont="1" applyBorder="1"/>
    <xf numFmtId="0" fontId="44" fillId="0" borderId="15" xfId="0" applyFont="1" applyBorder="1" applyAlignment="1">
      <alignment horizontal="center"/>
    </xf>
    <xf numFmtId="0" fontId="49" fillId="0" borderId="15" xfId="0" applyFont="1" applyBorder="1"/>
    <xf numFmtId="0" fontId="44" fillId="0" borderId="29" xfId="0" applyFont="1" applyBorder="1" applyAlignment="1">
      <alignment horizontal="center"/>
    </xf>
    <xf numFmtId="0" fontId="43" fillId="0" borderId="15" xfId="0" applyFont="1" applyBorder="1"/>
    <xf numFmtId="0" fontId="49" fillId="0" borderId="45" xfId="0" applyFont="1" applyBorder="1"/>
    <xf numFmtId="1" fontId="13" fillId="0" borderId="69" xfId="0" applyNumberFormat="1" applyFont="1" applyBorder="1" applyAlignment="1">
      <alignment horizontal="left" vertical="center"/>
    </xf>
    <xf numFmtId="1" fontId="13" fillId="0" borderId="17" xfId="0" applyNumberFormat="1" applyFont="1" applyBorder="1" applyAlignment="1">
      <alignment horizontal="left" vertical="center"/>
    </xf>
    <xf numFmtId="1" fontId="13" fillId="0" borderId="17" xfId="0" applyNumberFormat="1" applyFont="1" applyBorder="1" applyAlignment="1">
      <alignment horizontal="left"/>
    </xf>
    <xf numFmtId="1" fontId="13" fillId="0" borderId="0" xfId="2" applyNumberFormat="1" applyFont="1" applyBorder="1" applyAlignment="1">
      <alignment horizontal="left"/>
    </xf>
    <xf numFmtId="1" fontId="18" fillId="0" borderId="50" xfId="0" applyNumberFormat="1" applyFont="1" applyBorder="1" applyAlignment="1">
      <alignment horizontal="left"/>
    </xf>
    <xf numFmtId="1" fontId="18" fillId="0" borderId="0" xfId="0" applyNumberFormat="1" applyFont="1" applyAlignment="1">
      <alignment horizontal="left"/>
    </xf>
    <xf numFmtId="3" fontId="15" fillId="0" borderId="79" xfId="0" applyNumberFormat="1" applyFont="1" applyBorder="1" applyAlignment="1">
      <alignment horizontal="left"/>
    </xf>
    <xf numFmtId="3" fontId="15" fillId="0" borderId="77" xfId="0" applyNumberFormat="1" applyFont="1" applyBorder="1" applyAlignment="1">
      <alignment horizontal="left"/>
    </xf>
    <xf numFmtId="1" fontId="13" fillId="0" borderId="0" xfId="1" applyNumberFormat="1" applyFont="1" applyBorder="1" applyAlignment="1">
      <alignment horizontal="left"/>
    </xf>
    <xf numFmtId="1" fontId="13" fillId="0" borderId="17" xfId="1" applyNumberFormat="1" applyFont="1" applyBorder="1" applyAlignment="1">
      <alignment horizontal="left"/>
    </xf>
    <xf numFmtId="0" fontId="40" fillId="0" borderId="6" xfId="0" applyFont="1" applyBorder="1" applyAlignment="1">
      <alignment horizontal="left"/>
    </xf>
    <xf numFmtId="0" fontId="36" fillId="0" borderId="55" xfId="0" applyFont="1" applyBorder="1" applyAlignment="1">
      <alignment horizontal="justify" vertical="justify" wrapText="1"/>
    </xf>
    <xf numFmtId="0" fontId="37" fillId="0" borderId="80" xfId="0" applyFont="1" applyBorder="1" applyAlignment="1">
      <alignment horizontal="left"/>
    </xf>
    <xf numFmtId="0" fontId="23" fillId="0" borderId="73" xfId="0" applyFont="1" applyBorder="1" applyAlignment="1">
      <alignment horizontal="left"/>
    </xf>
    <xf numFmtId="0" fontId="37" fillId="0" borderId="25" xfId="0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23" fillId="0" borderId="45" xfId="0" applyFont="1" applyBorder="1" applyAlignment="1">
      <alignment horizontal="left"/>
    </xf>
    <xf numFmtId="0" fontId="36" fillId="0" borderId="61" xfId="0" applyFont="1" applyBorder="1" applyAlignment="1">
      <alignment horizontal="justify" vertical="justify" wrapText="1"/>
    </xf>
    <xf numFmtId="0" fontId="36" fillId="0" borderId="55" xfId="0" applyFont="1" applyBorder="1" applyAlignment="1">
      <alignment horizontal="left" vertical="justify" wrapText="1"/>
    </xf>
    <xf numFmtId="0" fontId="44" fillId="0" borderId="4" xfId="0" applyFont="1" applyBorder="1" applyAlignment="1">
      <alignment horizontal="center"/>
    </xf>
    <xf numFmtId="0" fontId="49" fillId="0" borderId="4" xfId="0" applyFont="1" applyBorder="1"/>
    <xf numFmtId="0" fontId="43" fillId="0" borderId="4" xfId="0" applyFont="1" applyBorder="1"/>
    <xf numFmtId="0" fontId="49" fillId="0" borderId="62" xfId="0" applyFont="1" applyBorder="1"/>
    <xf numFmtId="0" fontId="49" fillId="0" borderId="73" xfId="0" applyFont="1" applyBorder="1"/>
    <xf numFmtId="0" fontId="49" fillId="0" borderId="18" xfId="0" applyFont="1" applyBorder="1"/>
    <xf numFmtId="0" fontId="43" fillId="0" borderId="18" xfId="0" applyFont="1" applyBorder="1"/>
    <xf numFmtId="0" fontId="49" fillId="0" borderId="46" xfId="0" applyFont="1" applyBorder="1"/>
    <xf numFmtId="1" fontId="21" fillId="0" borderId="45" xfId="0" applyNumberFormat="1" applyFont="1" applyBorder="1" applyAlignment="1">
      <alignment horizontal="left"/>
    </xf>
    <xf numFmtId="1" fontId="21" fillId="0" borderId="63" xfId="0" applyNumberFormat="1" applyFont="1" applyBorder="1" applyAlignment="1">
      <alignment horizontal="left"/>
    </xf>
    <xf numFmtId="1" fontId="21" fillId="0" borderId="48" xfId="0" applyNumberFormat="1" applyFont="1" applyBorder="1" applyAlignment="1">
      <alignment horizontal="left"/>
    </xf>
    <xf numFmtId="1" fontId="21" fillId="0" borderId="10" xfId="0" applyNumberFormat="1" applyFont="1" applyBorder="1" applyAlignment="1">
      <alignment horizontal="left"/>
    </xf>
    <xf numFmtId="1" fontId="21" fillId="0" borderId="53" xfId="0" applyNumberFormat="1" applyFont="1" applyBorder="1" applyAlignment="1">
      <alignment horizontal="left"/>
    </xf>
    <xf numFmtId="1" fontId="21" fillId="0" borderId="14" xfId="0" applyNumberFormat="1" applyFont="1" applyBorder="1" applyAlignment="1">
      <alignment horizontal="left"/>
    </xf>
    <xf numFmtId="1" fontId="21" fillId="0" borderId="17" xfId="0" applyNumberFormat="1" applyFont="1" applyBorder="1" applyAlignment="1">
      <alignment horizontal="left"/>
    </xf>
    <xf numFmtId="1" fontId="21" fillId="0" borderId="61" xfId="0" applyNumberFormat="1" applyFont="1" applyBorder="1" applyAlignment="1">
      <alignment horizontal="center" vertical="center" wrapText="1"/>
    </xf>
    <xf numFmtId="1" fontId="21" fillId="0" borderId="57" xfId="0" applyNumberFormat="1" applyFont="1" applyBorder="1" applyAlignment="1">
      <alignment horizontal="center" vertical="center" wrapText="1"/>
    </xf>
    <xf numFmtId="0" fontId="49" fillId="0" borderId="0" xfId="0" applyFont="1" applyAlignment="1">
      <alignment horizontal="left"/>
    </xf>
    <xf numFmtId="0" fontId="19" fillId="0" borderId="7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1" fontId="21" fillId="0" borderId="61" xfId="0" applyNumberFormat="1" applyFont="1" applyBorder="1" applyAlignment="1">
      <alignment horizontal="center" vertical="justify" wrapText="1"/>
    </xf>
    <xf numFmtId="1" fontId="21" fillId="0" borderId="57" xfId="0" applyNumberFormat="1" applyFont="1" applyBorder="1" applyAlignment="1">
      <alignment horizontal="center" vertical="justify" wrapText="1"/>
    </xf>
    <xf numFmtId="1" fontId="14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1" fontId="14" fillId="0" borderId="37" xfId="0" applyNumberFormat="1" applyFont="1" applyBorder="1" applyAlignment="1">
      <alignment horizontal="left" vertical="center"/>
    </xf>
    <xf numFmtId="1" fontId="14" fillId="0" borderId="15" xfId="0" applyNumberFormat="1" applyFont="1" applyBorder="1" applyAlignment="1">
      <alignment horizontal="left" vertical="center"/>
    </xf>
    <xf numFmtId="1" fontId="14" fillId="0" borderId="61" xfId="0" applyNumberFormat="1" applyFont="1" applyBorder="1" applyAlignment="1">
      <alignment horizontal="justify" vertical="justify" wrapText="1"/>
    </xf>
    <xf numFmtId="1" fontId="14" fillId="0" borderId="57" xfId="0" applyNumberFormat="1" applyFont="1" applyBorder="1" applyAlignment="1">
      <alignment horizontal="justify" vertical="justify" wrapText="1"/>
    </xf>
    <xf numFmtId="1" fontId="14" fillId="0" borderId="61" xfId="0" applyNumberFormat="1" applyFont="1" applyBorder="1" applyAlignment="1">
      <alignment horizontal="center" vertical="center" wrapText="1"/>
    </xf>
    <xf numFmtId="1" fontId="14" fillId="0" borderId="57" xfId="0" applyNumberFormat="1" applyFont="1" applyBorder="1" applyAlignment="1">
      <alignment horizontal="center" vertical="center" wrapText="1"/>
    </xf>
    <xf numFmtId="1" fontId="14" fillId="0" borderId="61" xfId="0" applyNumberFormat="1" applyFont="1" applyBorder="1" applyAlignment="1">
      <alignment horizontal="left" vertical="center" wrapText="1"/>
    </xf>
    <xf numFmtId="1" fontId="14" fillId="0" borderId="57" xfId="0" applyNumberFormat="1" applyFont="1" applyBorder="1" applyAlignment="1">
      <alignment horizontal="left" vertical="center" wrapText="1"/>
    </xf>
    <xf numFmtId="1" fontId="14" fillId="0" borderId="70" xfId="0" applyNumberFormat="1" applyFont="1" applyBorder="1" applyAlignment="1">
      <alignment horizontal="left" vertical="center" wrapText="1"/>
    </xf>
    <xf numFmtId="1" fontId="14" fillId="0" borderId="51" xfId="0" applyNumberFormat="1" applyFont="1" applyBorder="1" applyAlignment="1">
      <alignment horizontal="left" vertical="center" wrapText="1"/>
    </xf>
    <xf numFmtId="1" fontId="14" fillId="0" borderId="55" xfId="0" applyNumberFormat="1" applyFont="1" applyBorder="1" applyAlignment="1">
      <alignment horizontal="left" vertical="center" wrapText="1"/>
    </xf>
    <xf numFmtId="1" fontId="14" fillId="0" borderId="55" xfId="0" applyNumberFormat="1" applyFont="1" applyBorder="1" applyAlignment="1">
      <alignment horizontal="center" vertical="center" wrapText="1"/>
    </xf>
    <xf numFmtId="1" fontId="14" fillId="0" borderId="56" xfId="0" applyNumberFormat="1" applyFont="1" applyBorder="1" applyAlignment="1">
      <alignment horizontal="left" vertical="center" wrapText="1"/>
    </xf>
    <xf numFmtId="1" fontId="14" fillId="0" borderId="65" xfId="0" applyNumberFormat="1" applyFont="1" applyBorder="1" applyAlignment="1">
      <alignment horizontal="left" vertical="center" wrapText="1"/>
    </xf>
    <xf numFmtId="1" fontId="14" fillId="0" borderId="51" xfId="0" applyNumberFormat="1" applyFont="1" applyBorder="1" applyAlignment="1">
      <alignment horizontal="center" vertical="center" wrapText="1"/>
    </xf>
    <xf numFmtId="1" fontId="14" fillId="0" borderId="52" xfId="0" applyNumberFormat="1" applyFont="1" applyBorder="1" applyAlignment="1">
      <alignment horizontal="center" vertical="center" wrapText="1"/>
    </xf>
    <xf numFmtId="1" fontId="14" fillId="0" borderId="70" xfId="0" applyNumberFormat="1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1" fontId="14" fillId="0" borderId="61" xfId="0" applyNumberFormat="1" applyFont="1" applyBorder="1" applyAlignment="1">
      <alignment horizontal="center" vertical="justify" wrapText="1"/>
    </xf>
    <xf numFmtId="1" fontId="14" fillId="0" borderId="55" xfId="0" applyNumberFormat="1" applyFont="1" applyBorder="1" applyAlignment="1">
      <alignment horizontal="center" vertical="justify" wrapText="1"/>
    </xf>
    <xf numFmtId="0" fontId="52" fillId="0" borderId="0" xfId="0" applyFont="1" applyAlignment="1">
      <alignment horizontal="left"/>
    </xf>
    <xf numFmtId="0" fontId="53" fillId="0" borderId="44" xfId="0" applyFont="1" applyBorder="1" applyAlignment="1">
      <alignment horizontal="center" vertical="center"/>
    </xf>
    <xf numFmtId="0" fontId="53" fillId="0" borderId="80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1" fontId="52" fillId="0" borderId="0" xfId="0" applyNumberFormat="1" applyFont="1" applyAlignment="1">
      <alignment horizontal="left"/>
    </xf>
    <xf numFmtId="1" fontId="21" fillId="0" borderId="70" xfId="0" applyNumberFormat="1" applyFont="1" applyBorder="1" applyAlignment="1">
      <alignment horizontal="center" vertical="center"/>
    </xf>
    <xf numFmtId="1" fontId="21" fillId="0" borderId="25" xfId="0" applyNumberFormat="1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 wrapText="1"/>
    </xf>
    <xf numFmtId="1" fontId="21" fillId="0" borderId="61" xfId="0" applyNumberFormat="1" applyFont="1" applyBorder="1" applyAlignment="1">
      <alignment horizontal="left" vertical="center" wrapText="1"/>
    </xf>
    <xf numFmtId="1" fontId="21" fillId="0" borderId="55" xfId="0" applyNumberFormat="1" applyFont="1" applyBorder="1" applyAlignment="1">
      <alignment horizontal="left" vertical="center" wrapText="1"/>
    </xf>
    <xf numFmtId="1" fontId="21" fillId="0" borderId="70" xfId="0" applyNumberFormat="1" applyFont="1" applyBorder="1" applyAlignment="1">
      <alignment horizontal="left" vertical="center" wrapText="1"/>
    </xf>
    <xf numFmtId="1" fontId="21" fillId="0" borderId="51" xfId="0" applyNumberFormat="1" applyFont="1" applyBorder="1" applyAlignment="1">
      <alignment horizontal="left" vertical="center" wrapText="1"/>
    </xf>
    <xf numFmtId="1" fontId="49" fillId="0" borderId="0" xfId="0" applyNumberFormat="1" applyFont="1" applyAlignment="1">
      <alignment horizontal="left"/>
    </xf>
    <xf numFmtId="1" fontId="21" fillId="0" borderId="23" xfId="0" applyNumberFormat="1" applyFont="1" applyBorder="1" applyAlignment="1">
      <alignment horizontal="left" vertical="center"/>
    </xf>
    <xf numFmtId="1" fontId="21" fillId="0" borderId="72" xfId="0" applyNumberFormat="1" applyFont="1" applyBorder="1" applyAlignment="1">
      <alignment horizontal="left" vertical="center"/>
    </xf>
    <xf numFmtId="1" fontId="21" fillId="0" borderId="61" xfId="0" applyNumberFormat="1" applyFont="1" applyBorder="1" applyAlignment="1">
      <alignment horizontal="justify" vertical="justify" wrapText="1"/>
    </xf>
    <xf numFmtId="1" fontId="21" fillId="0" borderId="57" xfId="0" applyNumberFormat="1" applyFont="1" applyBorder="1" applyAlignment="1">
      <alignment horizontal="justify" vertical="justify" wrapText="1"/>
    </xf>
    <xf numFmtId="1" fontId="21" fillId="0" borderId="32" xfId="0" applyNumberFormat="1" applyFont="1" applyBorder="1" applyAlignment="1">
      <alignment horizontal="center" vertical="center" wrapText="1"/>
    </xf>
    <xf numFmtId="1" fontId="21" fillId="0" borderId="34" xfId="0" applyNumberFormat="1" applyFont="1" applyBorder="1" applyAlignment="1">
      <alignment horizontal="center" vertical="center" wrapText="1"/>
    </xf>
    <xf numFmtId="1" fontId="21" fillId="0" borderId="56" xfId="0" applyNumberFormat="1" applyFont="1" applyBorder="1" applyAlignment="1">
      <alignment horizontal="left" vertical="center" wrapText="1"/>
    </xf>
    <xf numFmtId="1" fontId="21" fillId="0" borderId="65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3" fillId="0" borderId="71" xfId="0" applyFont="1" applyBorder="1" applyAlignment="1">
      <alignment horizontal="center" vertical="center"/>
    </xf>
    <xf numFmtId="0" fontId="53" fillId="0" borderId="73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justify" vertical="justify" wrapText="1"/>
    </xf>
    <xf numFmtId="0" fontId="19" fillId="0" borderId="57" xfId="0" applyFont="1" applyBorder="1" applyAlignment="1">
      <alignment horizontal="justify" vertical="justify" wrapText="1"/>
    </xf>
    <xf numFmtId="0" fontId="19" fillId="0" borderId="61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1" fontId="19" fillId="0" borderId="61" xfId="0" applyNumberFormat="1" applyFont="1" applyBorder="1" applyAlignment="1">
      <alignment horizontal="center" vertical="center" wrapText="1"/>
    </xf>
    <xf numFmtId="1" fontId="19" fillId="0" borderId="55" xfId="0" applyNumberFormat="1" applyFont="1" applyBorder="1" applyAlignment="1">
      <alignment horizontal="center" vertical="center" wrapText="1"/>
    </xf>
    <xf numFmtId="1" fontId="19" fillId="0" borderId="54" xfId="0" applyNumberFormat="1" applyFont="1" applyBorder="1" applyAlignment="1">
      <alignment horizontal="center" vertical="center" wrapText="1"/>
    </xf>
    <xf numFmtId="1" fontId="19" fillId="0" borderId="57" xfId="0" applyNumberFormat="1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1" fontId="21" fillId="0" borderId="70" xfId="0" applyNumberFormat="1" applyFont="1" applyBorder="1" applyAlignment="1">
      <alignment horizontal="center" vertical="center" wrapText="1"/>
    </xf>
    <xf numFmtId="1" fontId="21" fillId="0" borderId="52" xfId="0" applyNumberFormat="1" applyFont="1" applyBorder="1" applyAlignment="1">
      <alignment horizontal="center" vertical="center" wrapText="1"/>
    </xf>
    <xf numFmtId="1" fontId="21" fillId="0" borderId="51" xfId="0" applyNumberFormat="1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21" fillId="0" borderId="61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4" fillId="0" borderId="44" xfId="0" applyFont="1" applyBorder="1" applyAlignment="1">
      <alignment horizontal="left" vertical="center"/>
    </xf>
    <xf numFmtId="0" fontId="14" fillId="0" borderId="80" xfId="0" applyFont="1" applyBorder="1" applyAlignment="1">
      <alignment horizontal="left" vertical="center"/>
    </xf>
    <xf numFmtId="0" fontId="1" fillId="0" borderId="61" xfId="0" applyFont="1" applyBorder="1" applyAlignment="1">
      <alignment horizontal="justify" vertical="justify" wrapText="1"/>
    </xf>
    <xf numFmtId="0" fontId="1" fillId="0" borderId="57" xfId="0" applyFont="1" applyBorder="1" applyAlignment="1">
      <alignment horizontal="justify" vertical="justify" wrapText="1"/>
    </xf>
    <xf numFmtId="0" fontId="14" fillId="0" borderId="55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9" fillId="0" borderId="44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2" fillId="0" borderId="61" xfId="0" applyFont="1" applyBorder="1" applyAlignment="1">
      <alignment horizontal="center" vertical="justify" wrapText="1"/>
    </xf>
    <xf numFmtId="0" fontId="2" fillId="0" borderId="57" xfId="0" applyFont="1" applyBorder="1" applyAlignment="1">
      <alignment horizontal="center" vertical="justify" wrapText="1"/>
    </xf>
    <xf numFmtId="0" fontId="2" fillId="0" borderId="6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justify" wrapText="1"/>
    </xf>
    <xf numFmtId="0" fontId="14" fillId="0" borderId="0" xfId="0" applyFont="1" applyAlignment="1">
      <alignment horizontal="left" vertical="center" wrapText="1"/>
    </xf>
    <xf numFmtId="0" fontId="14" fillId="0" borderId="70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</cellXfs>
  <cellStyles count="3">
    <cellStyle name="Comma" xfId="1" builtinId="3"/>
    <cellStyle name="Comma 18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X60"/>
  <sheetViews>
    <sheetView tabSelected="1" workbookViewId="0">
      <pane xSplit="1" topLeftCell="B1" activePane="topRight" state="frozen"/>
      <selection pane="topRight" activeCell="E7" sqref="E7"/>
    </sheetView>
  </sheetViews>
  <sheetFormatPr defaultRowHeight="16.5" x14ac:dyDescent="0.3"/>
  <cols>
    <col min="1" max="1" width="65" style="61" bestFit="1" customWidth="1"/>
    <col min="2" max="2" width="3.85546875" style="61" customWidth="1"/>
    <col min="3" max="3" width="13" style="61" customWidth="1"/>
    <col min="4" max="4" width="14.5703125" style="61" bestFit="1" customWidth="1"/>
    <col min="5" max="5" width="11.85546875" style="61" customWidth="1"/>
    <col min="6" max="6" width="12.7109375" style="61" customWidth="1"/>
    <col min="7" max="12" width="14.5703125" style="61" bestFit="1" customWidth="1"/>
    <col min="13" max="14" width="14.5703125" style="284" bestFit="1" customWidth="1"/>
    <col min="15" max="15" width="12.7109375" style="61" customWidth="1"/>
    <col min="16" max="50" width="14.5703125" style="61" bestFit="1" customWidth="1"/>
    <col min="51" max="16384" width="9.140625" style="61"/>
  </cols>
  <sheetData>
    <row r="1" spans="1:50" ht="18.75" thickBot="1" x14ac:dyDescent="0.4">
      <c r="A1" s="1023" t="s">
        <v>366</v>
      </c>
      <c r="B1" s="1023"/>
      <c r="C1" s="1023"/>
      <c r="D1" s="1023"/>
      <c r="E1" s="1023"/>
      <c r="F1" s="1023"/>
      <c r="G1" s="1023"/>
      <c r="H1" s="1023"/>
      <c r="I1" s="1023"/>
      <c r="J1" s="1023"/>
      <c r="K1" s="1023"/>
      <c r="L1" s="1023"/>
      <c r="M1" s="1023"/>
      <c r="N1" s="1023"/>
      <c r="O1" s="1023"/>
      <c r="P1" s="1023"/>
      <c r="Q1" s="1023"/>
      <c r="R1" s="1023"/>
      <c r="S1" s="1023"/>
      <c r="T1" s="1023"/>
      <c r="U1" s="1023"/>
      <c r="V1" s="1023"/>
      <c r="W1" s="1023"/>
      <c r="X1" s="1023"/>
      <c r="Y1" s="1023"/>
      <c r="Z1" s="1023"/>
      <c r="AA1" s="1023"/>
      <c r="AB1" s="1023"/>
      <c r="AC1" s="1023"/>
      <c r="AD1" s="1023"/>
      <c r="AE1" s="1023"/>
      <c r="AF1" s="1023"/>
      <c r="AG1" s="1023"/>
      <c r="AH1" s="1023"/>
      <c r="AI1" s="1023"/>
      <c r="AJ1" s="1023"/>
      <c r="AK1" s="1023"/>
      <c r="AL1" s="1023"/>
      <c r="AM1" s="1023"/>
      <c r="AN1" s="1023"/>
      <c r="AO1" s="1023"/>
      <c r="AP1" s="1023"/>
      <c r="AQ1" s="1023"/>
      <c r="AR1" s="1023"/>
      <c r="AS1" s="1023"/>
      <c r="AT1" s="1023"/>
      <c r="AU1" s="1023"/>
      <c r="AV1" s="1023"/>
      <c r="AW1" s="1023"/>
      <c r="AX1" s="1023"/>
    </row>
    <row r="2" spans="1:50" ht="69" customHeight="1" thickBot="1" x14ac:dyDescent="0.35">
      <c r="A2" s="1024" t="s">
        <v>0</v>
      </c>
      <c r="B2" s="452"/>
      <c r="C2" s="1026" t="s">
        <v>149</v>
      </c>
      <c r="D2" s="1027"/>
      <c r="E2" s="1021" t="s">
        <v>150</v>
      </c>
      <c r="F2" s="1022"/>
      <c r="G2" s="1021" t="s">
        <v>151</v>
      </c>
      <c r="H2" s="1022"/>
      <c r="I2" s="1021" t="s">
        <v>152</v>
      </c>
      <c r="J2" s="1022"/>
      <c r="K2" s="1021" t="s">
        <v>153</v>
      </c>
      <c r="L2" s="1022"/>
      <c r="M2" s="1021" t="s">
        <v>154</v>
      </c>
      <c r="N2" s="1022"/>
      <c r="O2" s="1021" t="s">
        <v>253</v>
      </c>
      <c r="P2" s="1022"/>
      <c r="Q2" s="1021" t="s">
        <v>155</v>
      </c>
      <c r="R2" s="1022"/>
      <c r="S2" s="1021" t="s">
        <v>156</v>
      </c>
      <c r="T2" s="1022"/>
      <c r="U2" s="1021" t="s">
        <v>157</v>
      </c>
      <c r="V2" s="1022"/>
      <c r="W2" s="1021" t="s">
        <v>158</v>
      </c>
      <c r="X2" s="1022"/>
      <c r="Y2" s="1021" t="s">
        <v>159</v>
      </c>
      <c r="Z2" s="1022"/>
      <c r="AA2" s="1021" t="s">
        <v>359</v>
      </c>
      <c r="AB2" s="1022"/>
      <c r="AC2" s="1021" t="s">
        <v>160</v>
      </c>
      <c r="AD2" s="1022"/>
      <c r="AE2" s="1021" t="s">
        <v>161</v>
      </c>
      <c r="AF2" s="1022"/>
      <c r="AG2" s="1021" t="s">
        <v>162</v>
      </c>
      <c r="AH2" s="1022"/>
      <c r="AI2" s="1021" t="s">
        <v>163</v>
      </c>
      <c r="AJ2" s="1022"/>
      <c r="AK2" s="1021" t="s">
        <v>164</v>
      </c>
      <c r="AL2" s="1022"/>
      <c r="AM2" s="1021" t="s">
        <v>165</v>
      </c>
      <c r="AN2" s="1022"/>
      <c r="AO2" s="1021" t="s">
        <v>166</v>
      </c>
      <c r="AP2" s="1022"/>
      <c r="AQ2" s="1021" t="s">
        <v>167</v>
      </c>
      <c r="AR2" s="1022"/>
      <c r="AS2" s="1021" t="s">
        <v>168</v>
      </c>
      <c r="AT2" s="1022"/>
      <c r="AU2" s="1021" t="s">
        <v>169</v>
      </c>
      <c r="AV2" s="1022"/>
      <c r="AW2" s="1021" t="s">
        <v>170</v>
      </c>
      <c r="AX2" s="1022"/>
    </row>
    <row r="3" spans="1:50" s="333" customFormat="1" ht="15" customHeight="1" thickBot="1" x14ac:dyDescent="0.35">
      <c r="A3" s="1025"/>
      <c r="B3" s="463"/>
      <c r="C3" s="330" t="s">
        <v>370</v>
      </c>
      <c r="D3" s="331" t="s">
        <v>353</v>
      </c>
      <c r="E3" s="330" t="s">
        <v>370</v>
      </c>
      <c r="F3" s="331" t="s">
        <v>353</v>
      </c>
      <c r="G3" s="330" t="s">
        <v>370</v>
      </c>
      <c r="H3" s="331" t="s">
        <v>353</v>
      </c>
      <c r="I3" s="330" t="s">
        <v>370</v>
      </c>
      <c r="J3" s="331" t="s">
        <v>353</v>
      </c>
      <c r="K3" s="330" t="s">
        <v>370</v>
      </c>
      <c r="L3" s="331" t="s">
        <v>353</v>
      </c>
      <c r="M3" s="330" t="s">
        <v>370</v>
      </c>
      <c r="N3" s="331" t="s">
        <v>353</v>
      </c>
      <c r="O3" s="330" t="s">
        <v>370</v>
      </c>
      <c r="P3" s="331" t="s">
        <v>353</v>
      </c>
      <c r="Q3" s="330" t="s">
        <v>370</v>
      </c>
      <c r="R3" s="331" t="s">
        <v>353</v>
      </c>
      <c r="S3" s="330" t="s">
        <v>370</v>
      </c>
      <c r="T3" s="331" t="s">
        <v>353</v>
      </c>
      <c r="U3" s="330" t="s">
        <v>370</v>
      </c>
      <c r="V3" s="331" t="s">
        <v>353</v>
      </c>
      <c r="W3" s="330" t="s">
        <v>370</v>
      </c>
      <c r="X3" s="331" t="s">
        <v>353</v>
      </c>
      <c r="Y3" s="330" t="s">
        <v>370</v>
      </c>
      <c r="Z3" s="331" t="s">
        <v>353</v>
      </c>
      <c r="AA3" s="330" t="s">
        <v>370</v>
      </c>
      <c r="AB3" s="331" t="s">
        <v>353</v>
      </c>
      <c r="AC3" s="330" t="s">
        <v>370</v>
      </c>
      <c r="AD3" s="331" t="s">
        <v>353</v>
      </c>
      <c r="AE3" s="330" t="s">
        <v>370</v>
      </c>
      <c r="AF3" s="331" t="s">
        <v>353</v>
      </c>
      <c r="AG3" s="330" t="s">
        <v>370</v>
      </c>
      <c r="AH3" s="331" t="s">
        <v>353</v>
      </c>
      <c r="AI3" s="330" t="s">
        <v>370</v>
      </c>
      <c r="AJ3" s="331" t="s">
        <v>353</v>
      </c>
      <c r="AK3" s="330" t="s">
        <v>370</v>
      </c>
      <c r="AL3" s="331" t="s">
        <v>353</v>
      </c>
      <c r="AM3" s="330" t="s">
        <v>370</v>
      </c>
      <c r="AN3" s="331" t="s">
        <v>353</v>
      </c>
      <c r="AO3" s="330" t="s">
        <v>370</v>
      </c>
      <c r="AP3" s="331" t="s">
        <v>353</v>
      </c>
      <c r="AQ3" s="330" t="s">
        <v>370</v>
      </c>
      <c r="AR3" s="331" t="s">
        <v>353</v>
      </c>
      <c r="AS3" s="330" t="s">
        <v>370</v>
      </c>
      <c r="AT3" s="331" t="s">
        <v>353</v>
      </c>
      <c r="AU3" s="330" t="s">
        <v>370</v>
      </c>
      <c r="AV3" s="331" t="s">
        <v>353</v>
      </c>
      <c r="AW3" s="330" t="s">
        <v>370</v>
      </c>
      <c r="AX3" s="331" t="s">
        <v>353</v>
      </c>
    </row>
    <row r="4" spans="1:50" ht="15" customHeight="1" x14ac:dyDescent="0.3">
      <c r="A4" s="300" t="s">
        <v>21</v>
      </c>
      <c r="B4" s="303"/>
      <c r="C4" s="301"/>
      <c r="D4" s="531"/>
      <c r="E4" s="302"/>
      <c r="F4" s="302"/>
      <c r="G4" s="305"/>
      <c r="H4" s="302"/>
      <c r="I4" s="302"/>
      <c r="J4" s="302"/>
      <c r="K4" s="302"/>
      <c r="L4" s="302"/>
      <c r="M4" s="308"/>
      <c r="N4" s="308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5"/>
      <c r="AX4" s="302"/>
    </row>
    <row r="5" spans="1:50" ht="25.5" customHeight="1" x14ac:dyDescent="0.3">
      <c r="A5" s="248" t="s">
        <v>22</v>
      </c>
      <c r="B5" s="299" t="s">
        <v>174</v>
      </c>
      <c r="C5" s="295">
        <v>637338</v>
      </c>
      <c r="D5" s="532">
        <v>492138</v>
      </c>
      <c r="E5" s="297">
        <v>16274</v>
      </c>
      <c r="F5" s="297">
        <v>19557</v>
      </c>
      <c r="G5" s="306">
        <v>51114</v>
      </c>
      <c r="H5" s="297">
        <v>53303</v>
      </c>
      <c r="I5" s="297">
        <v>852422</v>
      </c>
      <c r="J5" s="297">
        <v>632858</v>
      </c>
      <c r="K5" s="297">
        <v>116310</v>
      </c>
      <c r="L5" s="297">
        <v>102388</v>
      </c>
      <c r="M5" s="309">
        <v>257319</v>
      </c>
      <c r="N5" s="309">
        <v>134868</v>
      </c>
      <c r="O5" s="297">
        <v>63720</v>
      </c>
      <c r="P5" s="535">
        <v>50468</v>
      </c>
      <c r="Q5" s="311">
        <v>63205</v>
      </c>
      <c r="R5" s="311">
        <v>55932</v>
      </c>
      <c r="S5" s="297"/>
      <c r="T5" s="297">
        <v>158354</v>
      </c>
      <c r="U5" s="297">
        <v>68138</v>
      </c>
      <c r="V5" s="297">
        <v>52122</v>
      </c>
      <c r="W5" s="297">
        <v>2172290</v>
      </c>
      <c r="X5" s="297">
        <v>1928682</v>
      </c>
      <c r="Y5" s="297">
        <v>1716029</v>
      </c>
      <c r="Z5" s="297">
        <v>1640319</v>
      </c>
      <c r="AA5" s="315">
        <v>94416</v>
      </c>
      <c r="AB5" s="315">
        <v>57822</v>
      </c>
      <c r="AC5" s="297">
        <v>265046</v>
      </c>
      <c r="AD5" s="297">
        <v>125166.23</v>
      </c>
      <c r="AE5" s="297">
        <v>550825</v>
      </c>
      <c r="AF5" s="297">
        <v>457838</v>
      </c>
      <c r="AG5" s="297">
        <v>990422</v>
      </c>
      <c r="AH5" s="297">
        <v>881527</v>
      </c>
      <c r="AI5" s="297">
        <v>358319</v>
      </c>
      <c r="AJ5" s="297">
        <v>285533</v>
      </c>
      <c r="AK5" s="297">
        <v>217984</v>
      </c>
      <c r="AL5" s="297">
        <v>205211</v>
      </c>
      <c r="AM5" s="318"/>
      <c r="AN5" s="318"/>
      <c r="AO5" s="319">
        <v>2797019</v>
      </c>
      <c r="AP5" s="302">
        <v>2309535</v>
      </c>
      <c r="AQ5" s="297">
        <v>96966</v>
      </c>
      <c r="AR5" s="297">
        <v>85024</v>
      </c>
      <c r="AS5" s="316">
        <v>279554</v>
      </c>
      <c r="AT5" s="316">
        <v>181572</v>
      </c>
      <c r="AU5" s="297">
        <v>749736</v>
      </c>
      <c r="AV5" s="297">
        <v>525493</v>
      </c>
      <c r="AW5" s="540"/>
      <c r="AX5" s="316">
        <v>18629345</v>
      </c>
    </row>
    <row r="6" spans="1:50" x14ac:dyDescent="0.3">
      <c r="A6" s="248" t="s">
        <v>175</v>
      </c>
      <c r="B6" s="304"/>
      <c r="C6" s="295">
        <v>-24132</v>
      </c>
      <c r="D6" s="532">
        <v>-21894</v>
      </c>
      <c r="E6" s="297">
        <v>-3396</v>
      </c>
      <c r="F6" s="297">
        <v>-3975</v>
      </c>
      <c r="G6" s="306">
        <v>-3300</v>
      </c>
      <c r="H6" s="297">
        <v>-4117</v>
      </c>
      <c r="I6" s="297">
        <v>-12863</v>
      </c>
      <c r="J6" s="297">
        <v>-6800</v>
      </c>
      <c r="K6" s="297">
        <v>-2283</v>
      </c>
      <c r="L6" s="297">
        <v>-1662</v>
      </c>
      <c r="M6" s="309">
        <v>-9849</v>
      </c>
      <c r="N6" s="309">
        <v>-1321</v>
      </c>
      <c r="O6" s="297">
        <v>-1886</v>
      </c>
      <c r="P6" s="297">
        <v>-2579</v>
      </c>
      <c r="Q6" s="312">
        <v>-1764</v>
      </c>
      <c r="R6" s="312">
        <v>-1699</v>
      </c>
      <c r="S6" s="297"/>
      <c r="T6" s="297">
        <v>-9301</v>
      </c>
      <c r="U6" s="297">
        <v>-3986</v>
      </c>
      <c r="V6" s="297">
        <v>-2753</v>
      </c>
      <c r="W6" s="297">
        <v>-25319</v>
      </c>
      <c r="X6" s="297">
        <v>-30438</v>
      </c>
      <c r="Y6" s="297">
        <v>-69477</v>
      </c>
      <c r="Z6" s="297">
        <v>-51481</v>
      </c>
      <c r="AA6" s="315">
        <v>-953</v>
      </c>
      <c r="AB6" s="315">
        <v>-460</v>
      </c>
      <c r="AC6" s="297">
        <v>-6163</v>
      </c>
      <c r="AD6" s="297">
        <v>-4311.7</v>
      </c>
      <c r="AE6" s="297">
        <v>-12368</v>
      </c>
      <c r="AF6" s="297">
        <v>-11649</v>
      </c>
      <c r="AG6" s="297">
        <v>-24505</v>
      </c>
      <c r="AH6" s="297">
        <v>-21108</v>
      </c>
      <c r="AI6" s="297">
        <v>-24266</v>
      </c>
      <c r="AJ6" s="297">
        <v>-18158</v>
      </c>
      <c r="AK6" s="297">
        <v>-1432</v>
      </c>
      <c r="AL6" s="297">
        <v>-1407</v>
      </c>
      <c r="AM6" s="318"/>
      <c r="AN6" s="318"/>
      <c r="AO6" s="319">
        <v>-45691</v>
      </c>
      <c r="AP6" s="319">
        <v>-12216</v>
      </c>
      <c r="AQ6" s="297">
        <v>-444</v>
      </c>
      <c r="AR6" s="297">
        <v>-452</v>
      </c>
      <c r="AS6" s="316">
        <v>-19421</v>
      </c>
      <c r="AT6" s="316">
        <v>-15486</v>
      </c>
      <c r="AU6" s="297">
        <v>-24223</v>
      </c>
      <c r="AV6" s="297">
        <v>-16896</v>
      </c>
      <c r="AW6" s="540"/>
      <c r="AX6" s="316">
        <v>-24050</v>
      </c>
    </row>
    <row r="7" spans="1:50" x14ac:dyDescent="0.3">
      <c r="A7" s="248" t="s">
        <v>176</v>
      </c>
      <c r="B7" s="304"/>
      <c r="C7" s="295"/>
      <c r="D7" s="532"/>
      <c r="E7" s="297"/>
      <c r="F7" s="297"/>
      <c r="G7" s="306"/>
      <c r="H7" s="297"/>
      <c r="I7" s="297"/>
      <c r="J7" s="297"/>
      <c r="K7" s="297"/>
      <c r="L7" s="297"/>
      <c r="M7" s="309"/>
      <c r="N7" s="309"/>
      <c r="O7" s="297"/>
      <c r="P7" s="297"/>
      <c r="Q7" s="312"/>
      <c r="R7" s="312"/>
      <c r="S7" s="297"/>
      <c r="T7" s="297"/>
      <c r="U7" s="297"/>
      <c r="V7" s="297"/>
      <c r="W7" s="297"/>
      <c r="X7" s="297"/>
      <c r="Y7" s="297">
        <v>40</v>
      </c>
      <c r="Z7" s="297"/>
      <c r="AA7" s="315"/>
      <c r="AB7" s="315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318"/>
      <c r="AN7" s="318"/>
      <c r="AO7" s="287"/>
      <c r="AP7" s="287"/>
      <c r="AQ7" s="297"/>
      <c r="AR7" s="297"/>
      <c r="AS7" s="316"/>
      <c r="AT7" s="316"/>
      <c r="AU7" s="297"/>
      <c r="AV7" s="297"/>
      <c r="AW7" s="540"/>
      <c r="AX7" s="316"/>
    </row>
    <row r="8" spans="1:50" s="843" customFormat="1" ht="18" x14ac:dyDescent="0.35">
      <c r="A8" s="299" t="s">
        <v>177</v>
      </c>
      <c r="B8" s="930"/>
      <c r="C8" s="296">
        <f>SUM(C5:C7)</f>
        <v>613206</v>
      </c>
      <c r="D8" s="296">
        <f>SUM(D5:D7)</f>
        <v>470244</v>
      </c>
      <c r="E8" s="298"/>
      <c r="F8" s="298"/>
      <c r="G8" s="307">
        <f t="shared" ref="G8:L8" si="0">SUM(G5:G7)</f>
        <v>47814</v>
      </c>
      <c r="H8" s="307">
        <f t="shared" si="0"/>
        <v>49186</v>
      </c>
      <c r="I8" s="298">
        <f t="shared" si="0"/>
        <v>839559</v>
      </c>
      <c r="J8" s="298">
        <f t="shared" si="0"/>
        <v>626058</v>
      </c>
      <c r="K8" s="298">
        <f t="shared" si="0"/>
        <v>114027</v>
      </c>
      <c r="L8" s="298">
        <f t="shared" si="0"/>
        <v>100726</v>
      </c>
      <c r="M8" s="298">
        <f t="shared" ref="M8:AV8" si="1">SUM(M5:M7)</f>
        <v>247470</v>
      </c>
      <c r="N8" s="298">
        <f t="shared" si="1"/>
        <v>133547</v>
      </c>
      <c r="O8" s="298">
        <f t="shared" si="1"/>
        <v>61834</v>
      </c>
      <c r="P8" s="298">
        <f t="shared" si="1"/>
        <v>47889</v>
      </c>
      <c r="Q8" s="298">
        <f t="shared" si="1"/>
        <v>61441</v>
      </c>
      <c r="R8" s="298">
        <f t="shared" si="1"/>
        <v>54233</v>
      </c>
      <c r="S8" s="298">
        <f t="shared" si="1"/>
        <v>0</v>
      </c>
      <c r="T8" s="298">
        <f t="shared" si="1"/>
        <v>149053</v>
      </c>
      <c r="U8" s="298">
        <f t="shared" si="1"/>
        <v>64152</v>
      </c>
      <c r="V8" s="298">
        <f t="shared" si="1"/>
        <v>49369</v>
      </c>
      <c r="W8" s="298">
        <f t="shared" si="1"/>
        <v>2146971</v>
      </c>
      <c r="X8" s="298">
        <f t="shared" si="1"/>
        <v>1898244</v>
      </c>
      <c r="Y8" s="298">
        <f t="shared" si="1"/>
        <v>1646592</v>
      </c>
      <c r="Z8" s="298">
        <f t="shared" si="1"/>
        <v>1588838</v>
      </c>
      <c r="AA8" s="298">
        <f t="shared" si="1"/>
        <v>93463</v>
      </c>
      <c r="AB8" s="298">
        <f t="shared" si="1"/>
        <v>57362</v>
      </c>
      <c r="AC8" s="298">
        <f t="shared" si="1"/>
        <v>258883</v>
      </c>
      <c r="AD8" s="298">
        <f t="shared" si="1"/>
        <v>120854.53</v>
      </c>
      <c r="AE8" s="298">
        <f t="shared" si="1"/>
        <v>538457</v>
      </c>
      <c r="AF8" s="298">
        <f t="shared" si="1"/>
        <v>446189</v>
      </c>
      <c r="AG8" s="298">
        <f t="shared" si="1"/>
        <v>965917</v>
      </c>
      <c r="AH8" s="298">
        <f t="shared" si="1"/>
        <v>860419</v>
      </c>
      <c r="AI8" s="298">
        <f t="shared" si="1"/>
        <v>334053</v>
      </c>
      <c r="AJ8" s="298">
        <f t="shared" si="1"/>
        <v>267375</v>
      </c>
      <c r="AK8" s="298">
        <f t="shared" si="1"/>
        <v>216552</v>
      </c>
      <c r="AL8" s="298">
        <f t="shared" si="1"/>
        <v>203804</v>
      </c>
      <c r="AM8" s="298">
        <f t="shared" si="1"/>
        <v>0</v>
      </c>
      <c r="AN8" s="298">
        <f t="shared" si="1"/>
        <v>0</v>
      </c>
      <c r="AO8" s="298">
        <f t="shared" si="1"/>
        <v>2751328</v>
      </c>
      <c r="AP8" s="298">
        <f t="shared" si="1"/>
        <v>2297319</v>
      </c>
      <c r="AQ8" s="298">
        <f t="shared" si="1"/>
        <v>96522</v>
      </c>
      <c r="AR8" s="298">
        <f t="shared" si="1"/>
        <v>84572</v>
      </c>
      <c r="AS8" s="298">
        <f t="shared" si="1"/>
        <v>260133</v>
      </c>
      <c r="AT8" s="298">
        <f t="shared" si="1"/>
        <v>166086</v>
      </c>
      <c r="AU8" s="298">
        <f t="shared" si="1"/>
        <v>725513</v>
      </c>
      <c r="AV8" s="298">
        <f t="shared" si="1"/>
        <v>508597</v>
      </c>
      <c r="AW8" s="931">
        <f>SUM(AW5:AW7)</f>
        <v>0</v>
      </c>
      <c r="AX8" s="932">
        <f>SUM(AX5:AX7)</f>
        <v>18605295</v>
      </c>
    </row>
    <row r="9" spans="1:50" ht="17.25" x14ac:dyDescent="0.35">
      <c r="A9" s="299" t="s">
        <v>178</v>
      </c>
      <c r="B9" s="304"/>
      <c r="C9" s="296"/>
      <c r="D9" s="533"/>
      <c r="E9" s="298"/>
      <c r="F9" s="298"/>
      <c r="G9" s="307"/>
      <c r="H9" s="298"/>
      <c r="I9" s="298"/>
      <c r="J9" s="298"/>
      <c r="K9" s="298"/>
      <c r="L9" s="298"/>
      <c r="M9" s="310"/>
      <c r="N9" s="310"/>
      <c r="O9" s="298"/>
      <c r="P9" s="298"/>
      <c r="Q9" s="313"/>
      <c r="R9" s="313"/>
      <c r="S9" s="298"/>
      <c r="T9" s="298"/>
      <c r="U9" s="298"/>
      <c r="V9" s="298"/>
      <c r="W9" s="298"/>
      <c r="X9" s="298"/>
      <c r="Y9" s="298"/>
      <c r="Z9" s="298"/>
      <c r="AA9" s="315"/>
      <c r="AB9" s="315"/>
      <c r="AC9" s="298"/>
      <c r="AD9" s="298"/>
      <c r="AE9" s="317"/>
      <c r="AF9" s="317"/>
      <c r="AG9" s="298"/>
      <c r="AH9" s="298"/>
      <c r="AI9" s="298"/>
      <c r="AJ9" s="298"/>
      <c r="AK9" s="298"/>
      <c r="AL9" s="298"/>
      <c r="AM9" s="318"/>
      <c r="AN9" s="318"/>
      <c r="AO9" s="287"/>
      <c r="AP9" s="287"/>
      <c r="AQ9" s="297"/>
      <c r="AR9" s="297"/>
      <c r="AS9" s="316"/>
      <c r="AT9" s="316"/>
      <c r="AU9" s="298"/>
      <c r="AV9" s="298"/>
      <c r="AW9" s="307"/>
      <c r="AX9" s="298"/>
    </row>
    <row r="10" spans="1:50" ht="17.25" x14ac:dyDescent="0.35">
      <c r="A10" s="248" t="s">
        <v>179</v>
      </c>
      <c r="B10" s="304"/>
      <c r="C10" s="295">
        <v>155866</v>
      </c>
      <c r="D10" s="532">
        <v>139580</v>
      </c>
      <c r="E10" s="297">
        <v>9371</v>
      </c>
      <c r="F10" s="297">
        <v>8054</v>
      </c>
      <c r="G10" s="306">
        <v>35665</v>
      </c>
      <c r="H10" s="297">
        <v>32481</v>
      </c>
      <c r="I10" s="297">
        <v>168542</v>
      </c>
      <c r="J10" s="297">
        <v>150484</v>
      </c>
      <c r="K10" s="297">
        <v>32608</v>
      </c>
      <c r="L10" s="297">
        <v>29166</v>
      </c>
      <c r="M10" s="309">
        <v>59400</v>
      </c>
      <c r="N10" s="309">
        <v>25587</v>
      </c>
      <c r="O10" s="297">
        <v>19359</v>
      </c>
      <c r="P10" s="297">
        <v>17061</v>
      </c>
      <c r="Q10" s="312">
        <v>16679</v>
      </c>
      <c r="R10" s="312">
        <v>12624</v>
      </c>
      <c r="S10" s="297"/>
      <c r="T10" s="297">
        <v>58503</v>
      </c>
      <c r="U10" s="297">
        <v>20761</v>
      </c>
      <c r="V10" s="297">
        <v>17913</v>
      </c>
      <c r="W10" s="297">
        <v>555211</v>
      </c>
      <c r="X10" s="297">
        <v>463968</v>
      </c>
      <c r="Y10" s="297">
        <v>443806</v>
      </c>
      <c r="Z10" s="297">
        <v>400564</v>
      </c>
      <c r="AA10" s="297">
        <v>40101</v>
      </c>
      <c r="AB10" s="297">
        <v>18064</v>
      </c>
      <c r="AC10" s="297">
        <v>48453</v>
      </c>
      <c r="AD10" s="297">
        <v>23981.4</v>
      </c>
      <c r="AE10" s="297">
        <v>130633</v>
      </c>
      <c r="AF10" s="297">
        <v>115112</v>
      </c>
      <c r="AG10" s="297">
        <v>287067</v>
      </c>
      <c r="AH10" s="297">
        <v>254230</v>
      </c>
      <c r="AI10" s="297">
        <v>100132</v>
      </c>
      <c r="AJ10" s="297">
        <v>86257</v>
      </c>
      <c r="AK10" s="297">
        <v>80247</v>
      </c>
      <c r="AL10" s="297">
        <v>72017</v>
      </c>
      <c r="AM10" s="318"/>
      <c r="AN10" s="318"/>
      <c r="AO10" s="319">
        <v>663598</v>
      </c>
      <c r="AP10" s="319">
        <v>549943</v>
      </c>
      <c r="AQ10" s="297">
        <v>23133</v>
      </c>
      <c r="AR10" s="297">
        <v>19761</v>
      </c>
      <c r="AS10" s="316">
        <v>46728</v>
      </c>
      <c r="AT10" s="316">
        <v>37142</v>
      </c>
      <c r="AU10" s="298">
        <v>118673</v>
      </c>
      <c r="AV10" s="298">
        <v>99932</v>
      </c>
      <c r="AW10" s="540"/>
      <c r="AX10" s="316">
        <v>12392312.75</v>
      </c>
    </row>
    <row r="11" spans="1:50" x14ac:dyDescent="0.3">
      <c r="A11" s="248" t="s">
        <v>180</v>
      </c>
      <c r="B11" s="304"/>
      <c r="C11" s="295">
        <v>80427</v>
      </c>
      <c r="D11" s="532">
        <v>140261</v>
      </c>
      <c r="E11" s="297">
        <v>7582</v>
      </c>
      <c r="F11" s="297">
        <v>12047</v>
      </c>
      <c r="G11" s="306">
        <v>15722</v>
      </c>
      <c r="H11" s="297">
        <v>21704</v>
      </c>
      <c r="I11" s="297">
        <v>130258</v>
      </c>
      <c r="J11" s="297">
        <v>217747</v>
      </c>
      <c r="K11" s="297">
        <v>6275</v>
      </c>
      <c r="L11" s="297">
        <v>23686</v>
      </c>
      <c r="M11" s="309">
        <v>25791</v>
      </c>
      <c r="N11" s="309">
        <v>26700</v>
      </c>
      <c r="O11" s="297">
        <v>850</v>
      </c>
      <c r="P11" s="297">
        <v>1320</v>
      </c>
      <c r="Q11" s="312">
        <v>9369</v>
      </c>
      <c r="R11" s="312">
        <v>11624</v>
      </c>
      <c r="S11" s="297"/>
      <c r="T11" s="297">
        <v>18146</v>
      </c>
      <c r="U11" s="297">
        <v>2851</v>
      </c>
      <c r="V11" s="297">
        <v>4702</v>
      </c>
      <c r="W11" s="297">
        <v>276278</v>
      </c>
      <c r="X11" s="297">
        <v>429862</v>
      </c>
      <c r="Y11" s="297">
        <v>498679</v>
      </c>
      <c r="Z11" s="297">
        <v>748981</v>
      </c>
      <c r="AA11" s="297">
        <v>15640</v>
      </c>
      <c r="AB11" s="297">
        <v>7094</v>
      </c>
      <c r="AC11" s="297">
        <v>32993</v>
      </c>
      <c r="AD11" s="297">
        <v>39479.379999999997</v>
      </c>
      <c r="AE11" s="297">
        <v>58174</v>
      </c>
      <c r="AF11" s="297">
        <v>95852</v>
      </c>
      <c r="AG11" s="297">
        <v>87297</v>
      </c>
      <c r="AH11" s="297">
        <v>353992</v>
      </c>
      <c r="AI11" s="297">
        <v>46696</v>
      </c>
      <c r="AJ11" s="297">
        <v>59704</v>
      </c>
      <c r="AK11" s="297">
        <v>28591</v>
      </c>
      <c r="AL11" s="297">
        <v>55679</v>
      </c>
      <c r="AM11" s="318"/>
      <c r="AN11" s="318"/>
      <c r="AO11" s="319">
        <v>316599</v>
      </c>
      <c r="AP11" s="319">
        <v>527673</v>
      </c>
      <c r="AQ11" s="297">
        <v>3044</v>
      </c>
      <c r="AR11" s="297">
        <v>3296</v>
      </c>
      <c r="AS11" s="316">
        <v>13066</v>
      </c>
      <c r="AT11" s="316">
        <v>37899</v>
      </c>
      <c r="AU11" s="297">
        <v>146384</v>
      </c>
      <c r="AV11" s="297">
        <v>223121</v>
      </c>
      <c r="AW11" s="540"/>
      <c r="AX11" s="316">
        <v>2897039.29</v>
      </c>
    </row>
    <row r="12" spans="1:50" ht="17.25" x14ac:dyDescent="0.35">
      <c r="A12" s="248" t="s">
        <v>181</v>
      </c>
      <c r="B12" s="304"/>
      <c r="C12" s="295">
        <v>-25471</v>
      </c>
      <c r="D12" s="532">
        <v>-13717</v>
      </c>
      <c r="E12" s="297">
        <v>-2879</v>
      </c>
      <c r="F12" s="297">
        <v>-1216</v>
      </c>
      <c r="G12" s="306">
        <v>-3557</v>
      </c>
      <c r="H12" s="297">
        <v>-1671</v>
      </c>
      <c r="I12" s="297">
        <v>-52910</v>
      </c>
      <c r="J12" s="297">
        <v>-32713</v>
      </c>
      <c r="K12" s="297">
        <v>-1692</v>
      </c>
      <c r="L12" s="297">
        <v>-2157</v>
      </c>
      <c r="M12" s="309">
        <v>-7722</v>
      </c>
      <c r="N12" s="309">
        <v>-2773</v>
      </c>
      <c r="O12" s="297">
        <v>-160</v>
      </c>
      <c r="P12" s="297">
        <v>-366</v>
      </c>
      <c r="Q12" s="312">
        <v>-5800</v>
      </c>
      <c r="R12" s="312">
        <v>-1535</v>
      </c>
      <c r="S12" s="297"/>
      <c r="T12" s="297">
        <v>-329</v>
      </c>
      <c r="U12" s="297">
        <v>-2098</v>
      </c>
      <c r="V12" s="297">
        <v>-919</v>
      </c>
      <c r="W12" s="297">
        <v>-61272</v>
      </c>
      <c r="X12" s="297">
        <v>-44960</v>
      </c>
      <c r="Y12" s="297">
        <v>-162259</v>
      </c>
      <c r="Z12" s="297">
        <v>-20849</v>
      </c>
      <c r="AA12" s="297">
        <v>-3497</v>
      </c>
      <c r="AB12" s="297">
        <v>-361</v>
      </c>
      <c r="AC12" s="297">
        <v>-13089</v>
      </c>
      <c r="AD12" s="297">
        <v>-2519.06</v>
      </c>
      <c r="AE12" s="317">
        <v>-28603</v>
      </c>
      <c r="AF12" s="297">
        <v>-12848</v>
      </c>
      <c r="AG12" s="297">
        <v>-127463</v>
      </c>
      <c r="AH12" s="297">
        <v>-43684</v>
      </c>
      <c r="AI12" s="297">
        <v>-12270</v>
      </c>
      <c r="AJ12" s="297">
        <v>-11957</v>
      </c>
      <c r="AK12" s="297">
        <v>-12186</v>
      </c>
      <c r="AL12" s="297">
        <v>-4849</v>
      </c>
      <c r="AM12" s="318"/>
      <c r="AN12" s="318"/>
      <c r="AO12" s="319">
        <v>-200574</v>
      </c>
      <c r="AP12" s="319">
        <v>-39404</v>
      </c>
      <c r="AQ12" s="297">
        <v>-1584</v>
      </c>
      <c r="AR12" s="297">
        <v>-151</v>
      </c>
      <c r="AS12" s="316">
        <v>-8990</v>
      </c>
      <c r="AT12" s="316">
        <v>-3028</v>
      </c>
      <c r="AU12" s="297">
        <v>-55185</v>
      </c>
      <c r="AV12" s="297">
        <v>-14920</v>
      </c>
      <c r="AW12" s="540"/>
      <c r="AX12" s="316">
        <v>-582410.13</v>
      </c>
    </row>
    <row r="13" spans="1:50" ht="17.25" x14ac:dyDescent="0.35">
      <c r="A13" s="248" t="s">
        <v>182</v>
      </c>
      <c r="B13" s="304"/>
      <c r="C13" s="295">
        <v>-81949</v>
      </c>
      <c r="D13" s="532">
        <v>7178</v>
      </c>
      <c r="E13" s="297">
        <v>-497</v>
      </c>
      <c r="F13" s="297">
        <v>4271</v>
      </c>
      <c r="G13" s="306">
        <v>-15840</v>
      </c>
      <c r="H13" s="297">
        <v>29108</v>
      </c>
      <c r="I13" s="297">
        <v>-90802</v>
      </c>
      <c r="J13" s="297">
        <v>249770</v>
      </c>
      <c r="K13" s="297">
        <v>-1558</v>
      </c>
      <c r="L13" s="297">
        <v>10054</v>
      </c>
      <c r="M13" s="309">
        <v>-32825</v>
      </c>
      <c r="N13" s="309">
        <v>74487</v>
      </c>
      <c r="O13" s="297">
        <v>-1359</v>
      </c>
      <c r="P13" s="297">
        <v>3723</v>
      </c>
      <c r="Q13" s="312">
        <v>-5881</v>
      </c>
      <c r="R13" s="312">
        <v>13302</v>
      </c>
      <c r="S13" s="297"/>
      <c r="T13" s="297">
        <v>12691</v>
      </c>
      <c r="U13" s="297">
        <v>-2055</v>
      </c>
      <c r="V13" s="297">
        <v>1220</v>
      </c>
      <c r="W13" s="297">
        <v>-187412</v>
      </c>
      <c r="X13" s="297">
        <v>734824</v>
      </c>
      <c r="Y13" s="297">
        <v>-396275</v>
      </c>
      <c r="Z13" s="297">
        <v>1127351</v>
      </c>
      <c r="AA13" s="297">
        <v>-18203</v>
      </c>
      <c r="AB13" s="297">
        <v>23055</v>
      </c>
      <c r="AC13" s="297">
        <v>2758</v>
      </c>
      <c r="AD13" s="297">
        <v>8473.6</v>
      </c>
      <c r="AE13" s="317">
        <v>61211</v>
      </c>
      <c r="AF13" s="297">
        <v>145400</v>
      </c>
      <c r="AG13" s="297">
        <v>14124</v>
      </c>
      <c r="AH13" s="297">
        <v>78295</v>
      </c>
      <c r="AI13" s="297">
        <v>-48452</v>
      </c>
      <c r="AJ13" s="297">
        <v>69775</v>
      </c>
      <c r="AK13" s="297">
        <v>-18192</v>
      </c>
      <c r="AL13" s="297">
        <v>42256</v>
      </c>
      <c r="AM13" s="318"/>
      <c r="AN13" s="318"/>
      <c r="AO13" s="319">
        <v>-332739</v>
      </c>
      <c r="AP13" s="319">
        <v>775418</v>
      </c>
      <c r="AQ13" s="297"/>
      <c r="AR13" s="297"/>
      <c r="AS13" s="316"/>
      <c r="AT13" s="316"/>
      <c r="AU13" s="297">
        <v>-54899</v>
      </c>
      <c r="AV13" s="297">
        <v>99896</v>
      </c>
      <c r="AW13" s="540"/>
      <c r="AX13" s="316">
        <v>175263.7</v>
      </c>
    </row>
    <row r="14" spans="1:50" ht="17.25" x14ac:dyDescent="0.35">
      <c r="A14" s="248" t="s">
        <v>183</v>
      </c>
      <c r="B14" s="304"/>
      <c r="C14" s="296">
        <v>15151</v>
      </c>
      <c r="D14" s="533">
        <v>412829</v>
      </c>
      <c r="E14" s="298">
        <v>1511</v>
      </c>
      <c r="F14" s="298">
        <v>1201</v>
      </c>
      <c r="G14" s="307"/>
      <c r="H14" s="298"/>
      <c r="I14" s="298">
        <v>14530</v>
      </c>
      <c r="J14" s="298">
        <v>6071</v>
      </c>
      <c r="K14" s="298">
        <v>2619</v>
      </c>
      <c r="L14" s="298"/>
      <c r="M14" s="310">
        <v>6925</v>
      </c>
      <c r="N14" s="310">
        <v>1731</v>
      </c>
      <c r="O14" s="298">
        <v>-298</v>
      </c>
      <c r="P14" s="298">
        <v>-474</v>
      </c>
      <c r="Q14" s="313"/>
      <c r="R14" s="313"/>
      <c r="S14" s="298"/>
      <c r="T14" s="298">
        <v>-324</v>
      </c>
      <c r="U14" s="298">
        <v>579</v>
      </c>
      <c r="V14" s="298">
        <v>198</v>
      </c>
      <c r="W14" s="298"/>
      <c r="X14" s="298"/>
      <c r="Y14" s="298">
        <v>30854</v>
      </c>
      <c r="Z14" s="298">
        <v>19563</v>
      </c>
      <c r="AA14" s="315">
        <v>1076</v>
      </c>
      <c r="AB14" s="315">
        <v>177</v>
      </c>
      <c r="AC14" s="298">
        <v>348</v>
      </c>
      <c r="AD14" s="298">
        <v>-360.03</v>
      </c>
      <c r="AE14" s="317">
        <v>8882</v>
      </c>
      <c r="AF14" s="317">
        <v>2765</v>
      </c>
      <c r="AG14" s="298">
        <v>12083</v>
      </c>
      <c r="AH14" s="298">
        <v>2710</v>
      </c>
      <c r="AI14" s="298">
        <v>4354</v>
      </c>
      <c r="AJ14" s="298">
        <v>955</v>
      </c>
      <c r="AK14" s="298">
        <v>3080</v>
      </c>
      <c r="AL14" s="298">
        <v>1580</v>
      </c>
      <c r="AM14" s="318"/>
      <c r="AN14" s="318"/>
      <c r="AO14" s="319">
        <v>16223</v>
      </c>
      <c r="AP14" s="319">
        <v>804</v>
      </c>
      <c r="AQ14" s="297">
        <v>2205</v>
      </c>
      <c r="AR14" s="297">
        <v>4025</v>
      </c>
      <c r="AS14" s="316">
        <v>4473</v>
      </c>
      <c r="AT14" s="316">
        <v>588</v>
      </c>
      <c r="AU14" s="298">
        <v>27113</v>
      </c>
      <c r="AV14" s="298">
        <v>8912</v>
      </c>
      <c r="AW14" s="307"/>
      <c r="AX14" s="298"/>
    </row>
    <row r="15" spans="1:50" ht="17.25" x14ac:dyDescent="0.35">
      <c r="A15" s="248" t="s">
        <v>239</v>
      </c>
      <c r="B15" s="304"/>
      <c r="C15" s="296"/>
      <c r="D15" s="533"/>
      <c r="E15" s="298"/>
      <c r="F15" s="298"/>
      <c r="G15" s="307"/>
      <c r="H15" s="298"/>
      <c r="I15" s="298"/>
      <c r="J15" s="298"/>
      <c r="K15" s="298"/>
      <c r="L15" s="298"/>
      <c r="M15" s="310"/>
      <c r="N15" s="310"/>
      <c r="O15" s="298"/>
      <c r="P15" s="298"/>
      <c r="Q15" s="313"/>
      <c r="R15" s="313"/>
      <c r="S15" s="298"/>
      <c r="T15" s="298"/>
      <c r="U15" s="298"/>
      <c r="V15" s="298">
        <v>286</v>
      </c>
      <c r="W15" s="298"/>
      <c r="X15" s="298"/>
      <c r="Y15" s="298"/>
      <c r="Z15" s="298"/>
      <c r="AA15" s="315"/>
      <c r="AB15" s="315"/>
      <c r="AC15" s="298"/>
      <c r="AD15" s="298"/>
      <c r="AE15" s="317"/>
      <c r="AF15" s="317"/>
      <c r="AG15" s="298"/>
      <c r="AH15" s="298"/>
      <c r="AI15" s="298"/>
      <c r="AJ15" s="298"/>
      <c r="AK15" s="298">
        <v>1141</v>
      </c>
      <c r="AL15" s="298">
        <v>718</v>
      </c>
      <c r="AM15" s="318"/>
      <c r="AN15" s="318"/>
      <c r="AO15" s="319"/>
      <c r="AP15" s="319"/>
      <c r="AQ15" s="297">
        <v>-939</v>
      </c>
      <c r="AR15" s="297">
        <v>95</v>
      </c>
      <c r="AS15" s="316">
        <v>-7250</v>
      </c>
      <c r="AT15" s="316">
        <v>1404</v>
      </c>
      <c r="AU15" s="298"/>
      <c r="AV15" s="298"/>
      <c r="AW15" s="307"/>
      <c r="AX15" s="298"/>
    </row>
    <row r="16" spans="1:50" x14ac:dyDescent="0.3">
      <c r="A16" s="299" t="s">
        <v>184</v>
      </c>
      <c r="B16" s="304"/>
      <c r="C16" s="295"/>
      <c r="D16" s="532"/>
      <c r="E16" s="297"/>
      <c r="F16" s="297"/>
      <c r="G16" s="306"/>
      <c r="H16" s="297"/>
      <c r="I16" s="297"/>
      <c r="J16" s="297"/>
      <c r="K16" s="297"/>
      <c r="L16" s="297"/>
      <c r="M16" s="309"/>
      <c r="N16" s="309"/>
      <c r="O16" s="297"/>
      <c r="P16" s="297"/>
      <c r="Q16" s="312"/>
      <c r="R16" s="312"/>
      <c r="S16" s="297"/>
      <c r="T16" s="297"/>
      <c r="U16" s="297">
        <v>394</v>
      </c>
      <c r="V16" s="297"/>
      <c r="W16" s="297"/>
      <c r="X16" s="297"/>
      <c r="Y16" s="297"/>
      <c r="Z16" s="297"/>
      <c r="AA16" s="315"/>
      <c r="AB16" s="315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318"/>
      <c r="AN16" s="318"/>
      <c r="AO16" s="287"/>
      <c r="AP16" s="287"/>
      <c r="AQ16" s="297"/>
      <c r="AR16" s="297"/>
      <c r="AS16" s="316"/>
      <c r="AT16" s="316"/>
      <c r="AU16" s="297"/>
      <c r="AV16" s="297"/>
      <c r="AW16" s="306"/>
      <c r="AX16" s="297"/>
    </row>
    <row r="17" spans="1:50" x14ac:dyDescent="0.3">
      <c r="A17" s="248" t="s">
        <v>185</v>
      </c>
      <c r="B17" s="304"/>
      <c r="C17" s="295">
        <v>11460</v>
      </c>
      <c r="D17" s="532">
        <v>14618</v>
      </c>
      <c r="E17" s="297">
        <v>4704</v>
      </c>
      <c r="F17" s="297">
        <v>4706</v>
      </c>
      <c r="G17" s="306">
        <f>60+2584</f>
        <v>2644</v>
      </c>
      <c r="H17" s="297">
        <f>65+282</f>
        <v>347</v>
      </c>
      <c r="I17" s="297"/>
      <c r="J17" s="297"/>
      <c r="K17" s="297"/>
      <c r="L17" s="297"/>
      <c r="M17" s="309"/>
      <c r="N17" s="309"/>
      <c r="O17" s="297">
        <f>1574+46</f>
        <v>1620</v>
      </c>
      <c r="P17" s="297">
        <v>1544</v>
      </c>
      <c r="Q17" s="312">
        <f>13627</f>
        <v>13627</v>
      </c>
      <c r="R17" s="312">
        <v>12335</v>
      </c>
      <c r="S17" s="297"/>
      <c r="T17" s="297">
        <v>14870</v>
      </c>
      <c r="U17" s="297">
        <v>10298</v>
      </c>
      <c r="V17" s="297">
        <v>8352</v>
      </c>
      <c r="W17" s="297">
        <v>1024</v>
      </c>
      <c r="X17" s="297">
        <v>19504</v>
      </c>
      <c r="Y17" s="297">
        <v>75782</v>
      </c>
      <c r="Z17" s="297">
        <v>115822</v>
      </c>
      <c r="AA17" s="315"/>
      <c r="AB17" s="315"/>
      <c r="AC17" s="297">
        <v>14878</v>
      </c>
      <c r="AD17" s="297"/>
      <c r="AE17" s="297"/>
      <c r="AF17" s="297"/>
      <c r="AG17" s="297"/>
      <c r="AH17" s="297"/>
      <c r="AI17" s="297">
        <v>3027</v>
      </c>
      <c r="AJ17" s="297"/>
      <c r="AK17" s="297">
        <v>287</v>
      </c>
      <c r="AL17" s="297"/>
      <c r="AM17" s="318"/>
      <c r="AN17" s="318"/>
      <c r="AO17" s="287"/>
      <c r="AP17" s="287"/>
      <c r="AQ17" s="297"/>
      <c r="AR17" s="297"/>
      <c r="AS17" s="316"/>
      <c r="AT17" s="316"/>
      <c r="AU17" s="297">
        <v>39983</v>
      </c>
      <c r="AV17" s="297">
        <v>15928</v>
      </c>
      <c r="AW17" s="306"/>
      <c r="AX17" s="297"/>
    </row>
    <row r="18" spans="1:50" x14ac:dyDescent="0.3">
      <c r="A18" s="248" t="s">
        <v>186</v>
      </c>
      <c r="B18" s="304"/>
      <c r="C18" s="295"/>
      <c r="D18" s="532"/>
      <c r="E18" s="297"/>
      <c r="F18" s="297"/>
      <c r="G18" s="306"/>
      <c r="H18" s="297"/>
      <c r="I18" s="297">
        <v>685</v>
      </c>
      <c r="J18" s="297">
        <v>580</v>
      </c>
      <c r="K18" s="297">
        <v>290</v>
      </c>
      <c r="L18" s="297">
        <v>157</v>
      </c>
      <c r="M18" s="309"/>
      <c r="N18" s="309">
        <v>10</v>
      </c>
      <c r="O18" s="297"/>
      <c r="P18" s="297"/>
      <c r="Q18" s="312">
        <v>9</v>
      </c>
      <c r="R18" s="312">
        <v>4</v>
      </c>
      <c r="S18" s="297"/>
      <c r="T18" s="297"/>
      <c r="U18" s="297"/>
      <c r="V18" s="297"/>
      <c r="W18" s="297">
        <v>1476</v>
      </c>
      <c r="X18" s="297">
        <v>1299</v>
      </c>
      <c r="Y18" s="297">
        <v>2407</v>
      </c>
      <c r="Z18" s="297">
        <v>1889</v>
      </c>
      <c r="AA18" s="315"/>
      <c r="AB18" s="315"/>
      <c r="AC18" s="297"/>
      <c r="AD18" s="297"/>
      <c r="AE18" s="297">
        <v>121</v>
      </c>
      <c r="AF18" s="297">
        <v>231</v>
      </c>
      <c r="AG18" s="297"/>
      <c r="AH18" s="297"/>
      <c r="AI18" s="297"/>
      <c r="AJ18" s="297"/>
      <c r="AK18" s="297"/>
      <c r="AL18" s="297"/>
      <c r="AM18" s="318"/>
      <c r="AN18" s="318"/>
      <c r="AO18" s="319">
        <v>669</v>
      </c>
      <c r="AP18" s="319">
        <v>591</v>
      </c>
      <c r="AQ18" s="297"/>
      <c r="AR18" s="297"/>
      <c r="AS18" s="316"/>
      <c r="AT18" s="316"/>
      <c r="AU18" s="297"/>
      <c r="AV18" s="297"/>
      <c r="AW18" s="306"/>
      <c r="AX18" s="297"/>
    </row>
    <row r="19" spans="1:50" x14ac:dyDescent="0.3">
      <c r="A19" s="248" t="s">
        <v>187</v>
      </c>
      <c r="B19" s="304"/>
      <c r="C19" s="295">
        <v>2412</v>
      </c>
      <c r="D19" s="532">
        <v>2526</v>
      </c>
      <c r="E19" s="297">
        <f>15+116</f>
        <v>131</v>
      </c>
      <c r="F19" s="297">
        <f>15</f>
        <v>15</v>
      </c>
      <c r="G19" s="306">
        <v>151</v>
      </c>
      <c r="H19" s="297">
        <v>157</v>
      </c>
      <c r="I19" s="297">
        <v>4060</v>
      </c>
      <c r="J19" s="297">
        <v>2547</v>
      </c>
      <c r="K19" s="297">
        <v>55</v>
      </c>
      <c r="L19" s="297">
        <v>34</v>
      </c>
      <c r="M19" s="309">
        <v>216</v>
      </c>
      <c r="N19" s="309">
        <v>123</v>
      </c>
      <c r="O19" s="297">
        <f>394+141</f>
        <v>535</v>
      </c>
      <c r="P19" s="297">
        <f>272+37</f>
        <v>309</v>
      </c>
      <c r="Q19" s="312">
        <v>149</v>
      </c>
      <c r="R19" s="312">
        <v>104</v>
      </c>
      <c r="S19" s="297"/>
      <c r="T19" s="297">
        <v>176</v>
      </c>
      <c r="U19" s="297"/>
      <c r="V19" s="297"/>
      <c r="W19" s="297">
        <v>7888</v>
      </c>
      <c r="X19" s="297">
        <v>5378</v>
      </c>
      <c r="Y19" s="297">
        <f>4701+29</f>
        <v>4730</v>
      </c>
      <c r="Z19" s="297">
        <f>3031+154</f>
        <v>3185</v>
      </c>
      <c r="AA19" s="315">
        <v>56</v>
      </c>
      <c r="AB19" s="315"/>
      <c r="AC19" s="297">
        <v>348</v>
      </c>
      <c r="AD19" s="297">
        <v>158.81</v>
      </c>
      <c r="AE19" s="297">
        <f>29+45</f>
        <v>74</v>
      </c>
      <c r="AF19" s="297">
        <f>78+23</f>
        <v>101</v>
      </c>
      <c r="AG19" s="297">
        <v>2826</v>
      </c>
      <c r="AH19" s="297">
        <v>2368</v>
      </c>
      <c r="AI19" s="297">
        <f>899+141</f>
        <v>1040</v>
      </c>
      <c r="AJ19" s="297"/>
      <c r="AK19" s="297"/>
      <c r="AL19" s="297">
        <v>7850</v>
      </c>
      <c r="AM19" s="318"/>
      <c r="AN19" s="318"/>
      <c r="AO19" s="319">
        <v>1534</v>
      </c>
      <c r="AP19" s="319">
        <v>1757</v>
      </c>
      <c r="AQ19" s="297">
        <f>153+505+217</f>
        <v>875</v>
      </c>
      <c r="AR19" s="297">
        <f>135+343+108</f>
        <v>586</v>
      </c>
      <c r="AS19" s="316">
        <v>191</v>
      </c>
      <c r="AT19" s="316">
        <v>152</v>
      </c>
      <c r="AU19" s="297">
        <f>261+1797+3+33+2306</f>
        <v>4400</v>
      </c>
      <c r="AV19" s="297">
        <f>2145+194+1713-16</f>
        <v>4036</v>
      </c>
      <c r="AW19" s="306"/>
      <c r="AX19" s="297">
        <f>18932-67</f>
        <v>18865</v>
      </c>
    </row>
    <row r="20" spans="1:50" s="588" customFormat="1" ht="18" x14ac:dyDescent="0.35">
      <c r="A20" s="577" t="s">
        <v>20</v>
      </c>
      <c r="B20" s="578"/>
      <c r="C20" s="579">
        <v>771102</v>
      </c>
      <c r="D20" s="580">
        <v>900217</v>
      </c>
      <c r="E20" s="581">
        <v>32799</v>
      </c>
      <c r="F20" s="581">
        <v>44662</v>
      </c>
      <c r="G20" s="582">
        <v>82599</v>
      </c>
      <c r="H20" s="581">
        <v>133672</v>
      </c>
      <c r="I20" s="581">
        <v>1013922</v>
      </c>
      <c r="J20" s="581">
        <v>1220544</v>
      </c>
      <c r="K20" s="581">
        <v>152623</v>
      </c>
      <c r="L20" s="581">
        <v>161665</v>
      </c>
      <c r="M20" s="583">
        <v>299255</v>
      </c>
      <c r="N20" s="583">
        <v>259412</v>
      </c>
      <c r="O20" s="581">
        <v>82381</v>
      </c>
      <c r="P20" s="581">
        <v>71006</v>
      </c>
      <c r="Q20" s="584">
        <v>89593</v>
      </c>
      <c r="R20" s="584">
        <v>102692</v>
      </c>
      <c r="S20" s="581"/>
      <c r="T20" s="581">
        <v>252787</v>
      </c>
      <c r="U20" s="581">
        <v>94882</v>
      </c>
      <c r="V20" s="581">
        <v>81121</v>
      </c>
      <c r="W20" s="581">
        <v>2740164</v>
      </c>
      <c r="X20" s="581">
        <v>3508119</v>
      </c>
      <c r="Y20" s="581">
        <v>2144316</v>
      </c>
      <c r="Z20" s="581">
        <v>3985344</v>
      </c>
      <c r="AA20" s="600">
        <v>128636</v>
      </c>
      <c r="AB20" s="600">
        <v>105331</v>
      </c>
      <c r="AC20" s="581">
        <v>326333</v>
      </c>
      <c r="AD20" s="581">
        <v>206690.74</v>
      </c>
      <c r="AE20" s="581">
        <v>646527</v>
      </c>
      <c r="AF20" s="581">
        <v>792802</v>
      </c>
      <c r="AG20" s="581">
        <v>1241852</v>
      </c>
      <c r="AH20" s="581">
        <v>1508332</v>
      </c>
      <c r="AI20" s="581">
        <v>428580</v>
      </c>
      <c r="AJ20" s="581">
        <v>492199</v>
      </c>
      <c r="AK20" s="581">
        <v>299521</v>
      </c>
      <c r="AL20" s="581">
        <v>379056</v>
      </c>
      <c r="AM20" s="586"/>
      <c r="AN20" s="586"/>
      <c r="AO20" s="587">
        <v>3216638</v>
      </c>
      <c r="AP20" s="587">
        <v>4114101</v>
      </c>
      <c r="AQ20" s="581">
        <v>123257</v>
      </c>
      <c r="AR20" s="581">
        <v>112187</v>
      </c>
      <c r="AS20" s="585">
        <v>308350</v>
      </c>
      <c r="AT20" s="585">
        <v>240242</v>
      </c>
      <c r="AU20" s="581">
        <v>951981</v>
      </c>
      <c r="AV20" s="581">
        <v>945503</v>
      </c>
      <c r="AW20" s="601"/>
      <c r="AX20" s="602">
        <v>33506365</v>
      </c>
    </row>
    <row r="21" spans="1:50" x14ac:dyDescent="0.3">
      <c r="A21" s="248" t="s">
        <v>59</v>
      </c>
      <c r="B21" s="299" t="s">
        <v>188</v>
      </c>
      <c r="C21" s="295">
        <v>28740</v>
      </c>
      <c r="D21" s="532">
        <v>24326</v>
      </c>
      <c r="E21" s="297">
        <v>56</v>
      </c>
      <c r="F21" s="297">
        <v>189</v>
      </c>
      <c r="G21" s="306">
        <v>1249</v>
      </c>
      <c r="H21" s="297">
        <v>1324</v>
      </c>
      <c r="I21" s="297">
        <v>43875</v>
      </c>
      <c r="J21" s="297">
        <v>28837</v>
      </c>
      <c r="K21" s="297">
        <v>7358</v>
      </c>
      <c r="L21" s="297">
        <v>7008</v>
      </c>
      <c r="M21" s="309">
        <v>16204</v>
      </c>
      <c r="N21" s="309">
        <v>8745</v>
      </c>
      <c r="O21" s="297">
        <v>2444</v>
      </c>
      <c r="P21" s="297">
        <v>1427</v>
      </c>
      <c r="Q21" s="312">
        <v>4719</v>
      </c>
      <c r="R21" s="312">
        <v>4069</v>
      </c>
      <c r="S21" s="297"/>
      <c r="T21" s="297">
        <v>7564</v>
      </c>
      <c r="U21" s="297">
        <v>2138</v>
      </c>
      <c r="V21" s="297">
        <v>1318</v>
      </c>
      <c r="W21" s="297">
        <v>90593</v>
      </c>
      <c r="X21" s="297">
        <v>81215</v>
      </c>
      <c r="Y21" s="297">
        <v>71899</v>
      </c>
      <c r="Z21" s="297">
        <v>69563</v>
      </c>
      <c r="AA21" s="315">
        <v>4143</v>
      </c>
      <c r="AB21" s="315">
        <v>2266</v>
      </c>
      <c r="AC21" s="297">
        <v>13016</v>
      </c>
      <c r="AD21" s="297">
        <v>6659.84</v>
      </c>
      <c r="AE21" s="297">
        <v>26577</v>
      </c>
      <c r="AF21" s="297">
        <v>18149</v>
      </c>
      <c r="AG21" s="297">
        <v>58093</v>
      </c>
      <c r="AH21" s="297">
        <v>53875</v>
      </c>
      <c r="AI21" s="297">
        <v>20257</v>
      </c>
      <c r="AJ21" s="297">
        <v>15647</v>
      </c>
      <c r="AK21" s="297">
        <v>7493</v>
      </c>
      <c r="AL21" s="297">
        <v>6294</v>
      </c>
      <c r="AM21" s="318"/>
      <c r="AN21" s="318"/>
      <c r="AO21" s="319">
        <v>126286</v>
      </c>
      <c r="AP21" s="319">
        <v>82028</v>
      </c>
      <c r="AQ21" s="297">
        <v>6118</v>
      </c>
      <c r="AR21" s="297">
        <v>5539</v>
      </c>
      <c r="AS21" s="316">
        <v>12555</v>
      </c>
      <c r="AT21" s="316">
        <v>10097</v>
      </c>
      <c r="AU21" s="297">
        <v>69701</v>
      </c>
      <c r="AV21" s="297">
        <v>47903</v>
      </c>
      <c r="AW21" s="540"/>
      <c r="AX21" s="316">
        <v>984467.71</v>
      </c>
    </row>
    <row r="22" spans="1:50" x14ac:dyDescent="0.3">
      <c r="A22" s="248" t="s">
        <v>189</v>
      </c>
      <c r="B22" s="299" t="s">
        <v>190</v>
      </c>
      <c r="C22" s="295">
        <v>90788</v>
      </c>
      <c r="D22" s="532">
        <v>66056</v>
      </c>
      <c r="E22" s="297">
        <v>7939</v>
      </c>
      <c r="F22" s="297">
        <v>8612</v>
      </c>
      <c r="G22" s="306">
        <v>13099</v>
      </c>
      <c r="H22" s="297">
        <v>13585</v>
      </c>
      <c r="I22" s="297">
        <v>160431</v>
      </c>
      <c r="J22" s="297">
        <v>115842</v>
      </c>
      <c r="K22" s="297">
        <v>46947</v>
      </c>
      <c r="L22" s="297">
        <v>40305</v>
      </c>
      <c r="M22" s="309">
        <v>39193</v>
      </c>
      <c r="N22" s="309">
        <v>16431</v>
      </c>
      <c r="O22" s="297">
        <v>13551</v>
      </c>
      <c r="P22" s="297">
        <v>12727</v>
      </c>
      <c r="Q22" s="312">
        <v>25979</v>
      </c>
      <c r="R22" s="312">
        <v>23988</v>
      </c>
      <c r="S22" s="297"/>
      <c r="T22" s="297">
        <v>32205</v>
      </c>
      <c r="U22" s="297">
        <v>25900</v>
      </c>
      <c r="V22" s="297">
        <v>22094</v>
      </c>
      <c r="W22" s="297">
        <v>307954</v>
      </c>
      <c r="X22" s="297">
        <v>230112</v>
      </c>
      <c r="Y22" s="297">
        <v>197190</v>
      </c>
      <c r="Z22" s="297">
        <v>153649</v>
      </c>
      <c r="AA22" s="315">
        <v>16149</v>
      </c>
      <c r="AB22" s="315">
        <v>5555</v>
      </c>
      <c r="AC22" s="297">
        <v>41125</v>
      </c>
      <c r="AD22" s="297">
        <v>16022.99</v>
      </c>
      <c r="AE22" s="297">
        <v>83176</v>
      </c>
      <c r="AF22" s="297">
        <v>74055</v>
      </c>
      <c r="AG22" s="297">
        <v>149669</v>
      </c>
      <c r="AH22" s="297">
        <v>136991</v>
      </c>
      <c r="AI22" s="297">
        <v>66889</v>
      </c>
      <c r="AJ22" s="297">
        <v>50899</v>
      </c>
      <c r="AK22" s="297">
        <v>57536</v>
      </c>
      <c r="AL22" s="297">
        <v>51078</v>
      </c>
      <c r="AM22" s="318"/>
      <c r="AN22" s="318"/>
      <c r="AO22" s="319">
        <v>157680</v>
      </c>
      <c r="AP22" s="319">
        <v>133259</v>
      </c>
      <c r="AQ22" s="297">
        <v>25589</v>
      </c>
      <c r="AR22" s="297">
        <v>24276</v>
      </c>
      <c r="AS22" s="316">
        <v>31084</v>
      </c>
      <c r="AT22" s="316">
        <v>21629</v>
      </c>
      <c r="AU22" s="297">
        <v>170645</v>
      </c>
      <c r="AV22" s="297">
        <v>109424</v>
      </c>
      <c r="AW22" s="540"/>
      <c r="AX22" s="316">
        <v>1871665.28</v>
      </c>
    </row>
    <row r="23" spans="1:50" x14ac:dyDescent="0.3">
      <c r="A23" s="248" t="s">
        <v>234</v>
      </c>
      <c r="B23" s="299"/>
      <c r="C23" s="295"/>
      <c r="D23" s="532"/>
      <c r="E23" s="297"/>
      <c r="F23" s="297"/>
      <c r="G23" s="306"/>
      <c r="H23" s="297"/>
      <c r="I23" s="297"/>
      <c r="J23" s="297"/>
      <c r="K23" s="297"/>
      <c r="L23" s="297"/>
      <c r="M23" s="309"/>
      <c r="N23" s="309"/>
      <c r="O23" s="297"/>
      <c r="P23" s="297"/>
      <c r="Q23" s="312"/>
      <c r="R23" s="312"/>
      <c r="S23" s="297"/>
      <c r="T23" s="297"/>
      <c r="U23" s="297"/>
      <c r="V23" s="297"/>
      <c r="W23" s="297"/>
      <c r="X23" s="297"/>
      <c r="Y23" s="297"/>
      <c r="Z23" s="297"/>
      <c r="AA23" s="315"/>
      <c r="AB23" s="315"/>
      <c r="AC23" s="297"/>
      <c r="AD23" s="297"/>
      <c r="AE23" s="297"/>
      <c r="AF23" s="297"/>
      <c r="AG23" s="297"/>
      <c r="AH23" s="297"/>
      <c r="AI23" s="297"/>
      <c r="AJ23" s="297"/>
      <c r="AK23" s="297"/>
      <c r="AL23" s="297"/>
      <c r="AM23" s="318"/>
      <c r="AN23" s="318"/>
      <c r="AO23" s="319"/>
      <c r="AP23" s="319"/>
      <c r="AQ23" s="297"/>
      <c r="AR23" s="297"/>
      <c r="AS23" s="316"/>
      <c r="AT23" s="316"/>
      <c r="AU23" s="297"/>
      <c r="AV23" s="297"/>
      <c r="AW23" s="540"/>
      <c r="AX23" s="316">
        <v>-28675.38</v>
      </c>
    </row>
    <row r="24" spans="1:50" x14ac:dyDescent="0.3">
      <c r="A24" s="248" t="s">
        <v>191</v>
      </c>
      <c r="B24" s="304"/>
      <c r="C24" s="295">
        <v>-5</v>
      </c>
      <c r="D24" s="532">
        <v>-2</v>
      </c>
      <c r="E24" s="297"/>
      <c r="F24" s="297">
        <v>-6</v>
      </c>
      <c r="G24" s="306">
        <v>76</v>
      </c>
      <c r="H24" s="297">
        <v>52</v>
      </c>
      <c r="I24" s="297">
        <v>46</v>
      </c>
      <c r="J24" s="297">
        <v>34</v>
      </c>
      <c r="K24" s="297">
        <v>-47</v>
      </c>
      <c r="L24" s="297">
        <v>286</v>
      </c>
      <c r="M24" s="309"/>
      <c r="N24" s="309"/>
      <c r="O24" s="297"/>
      <c r="P24" s="297"/>
      <c r="Q24" s="312">
        <v>70</v>
      </c>
      <c r="R24" s="312">
        <v>41</v>
      </c>
      <c r="S24" s="297"/>
      <c r="T24" s="297"/>
      <c r="U24" s="297">
        <v>35</v>
      </c>
      <c r="V24" s="297">
        <v>-70</v>
      </c>
      <c r="W24" s="297"/>
      <c r="X24" s="297"/>
      <c r="Y24" s="297">
        <v>150</v>
      </c>
      <c r="Z24" s="297">
        <v>-14</v>
      </c>
      <c r="AA24" s="315">
        <v>2</v>
      </c>
      <c r="AB24" s="315"/>
      <c r="AC24" s="297"/>
      <c r="AD24" s="297"/>
      <c r="AE24" s="297"/>
      <c r="AF24" s="297"/>
      <c r="AG24" s="297">
        <v>116</v>
      </c>
      <c r="AH24" s="297">
        <v>78</v>
      </c>
      <c r="AI24" s="297"/>
      <c r="AJ24" s="297"/>
      <c r="AK24" s="297">
        <v>-45</v>
      </c>
      <c r="AL24" s="297"/>
      <c r="AM24" s="318"/>
      <c r="AN24" s="318"/>
      <c r="AO24" s="319">
        <v>100</v>
      </c>
      <c r="AP24" s="319">
        <v>51</v>
      </c>
      <c r="AQ24" s="297"/>
      <c r="AR24" s="297"/>
      <c r="AS24" s="316">
        <v>11</v>
      </c>
      <c r="AT24" s="316">
        <v>21</v>
      </c>
      <c r="AU24" s="297"/>
      <c r="AV24" s="297"/>
      <c r="AW24" s="540"/>
      <c r="AX24" s="316"/>
    </row>
    <row r="25" spans="1:50" ht="17.25" x14ac:dyDescent="0.35">
      <c r="A25" s="248" t="s">
        <v>192</v>
      </c>
      <c r="B25" s="304"/>
      <c r="C25" s="296"/>
      <c r="D25" s="533"/>
      <c r="E25" s="298"/>
      <c r="F25" s="298"/>
      <c r="G25" s="307"/>
      <c r="H25" s="298"/>
      <c r="I25" s="298">
        <v>86</v>
      </c>
      <c r="J25" s="298">
        <v>62</v>
      </c>
      <c r="K25" s="298">
        <v>11</v>
      </c>
      <c r="L25" s="298"/>
      <c r="M25" s="310"/>
      <c r="N25" s="310">
        <v>6</v>
      </c>
      <c r="O25" s="298"/>
      <c r="P25" s="298"/>
      <c r="Q25" s="313"/>
      <c r="R25" s="313"/>
      <c r="S25" s="298"/>
      <c r="T25" s="298"/>
      <c r="U25" s="298"/>
      <c r="V25" s="298"/>
      <c r="W25" s="298"/>
      <c r="X25" s="298"/>
      <c r="Y25" s="298">
        <v>285</v>
      </c>
      <c r="Z25" s="298">
        <v>223</v>
      </c>
      <c r="AA25" s="315"/>
      <c r="AB25" s="315"/>
      <c r="AC25" s="298"/>
      <c r="AD25" s="298"/>
      <c r="AE25" s="317"/>
      <c r="AF25" s="317">
        <v>1282</v>
      </c>
      <c r="AG25" s="298">
        <v>1</v>
      </c>
      <c r="AH25" s="298"/>
      <c r="AI25" s="298"/>
      <c r="AJ25" s="298"/>
      <c r="AK25" s="298">
        <v>92</v>
      </c>
      <c r="AL25" s="298"/>
      <c r="AM25" s="318"/>
      <c r="AN25" s="318"/>
      <c r="AO25" s="321">
        <v>10</v>
      </c>
      <c r="AP25" s="321">
        <v>2927</v>
      </c>
      <c r="AQ25" s="297"/>
      <c r="AR25" s="297"/>
      <c r="AS25" s="316">
        <v>19</v>
      </c>
      <c r="AT25" s="316">
        <v>2053</v>
      </c>
      <c r="AU25" s="298"/>
      <c r="AV25" s="298"/>
      <c r="AW25" s="307"/>
      <c r="AX25" s="298"/>
    </row>
    <row r="26" spans="1:50" x14ac:dyDescent="0.3">
      <c r="A26" s="248" t="s">
        <v>193</v>
      </c>
      <c r="B26" s="304"/>
      <c r="C26" s="295">
        <v>2192</v>
      </c>
      <c r="D26" s="532">
        <v>2217</v>
      </c>
      <c r="E26" s="297"/>
      <c r="F26" s="297"/>
      <c r="G26" s="306"/>
      <c r="H26" s="297"/>
      <c r="I26" s="297"/>
      <c r="J26" s="297"/>
      <c r="K26" s="297"/>
      <c r="L26" s="297"/>
      <c r="M26" s="309"/>
      <c r="N26" s="309"/>
      <c r="O26" s="297"/>
      <c r="P26" s="297"/>
      <c r="Q26" s="312"/>
      <c r="R26" s="312"/>
      <c r="S26" s="297"/>
      <c r="T26" s="297"/>
      <c r="U26" s="297"/>
      <c r="V26" s="297"/>
      <c r="W26" s="297">
        <v>4091</v>
      </c>
      <c r="X26" s="297">
        <v>1214</v>
      </c>
      <c r="Y26" s="297"/>
      <c r="Z26" s="297"/>
      <c r="AA26" s="315"/>
      <c r="AB26" s="315"/>
      <c r="AC26" s="297"/>
      <c r="AD26" s="297"/>
      <c r="AE26" s="297">
        <v>11558</v>
      </c>
      <c r="AF26" s="297">
        <v>5897</v>
      </c>
      <c r="AG26" s="297"/>
      <c r="AH26" s="297"/>
      <c r="AI26" s="297">
        <v>123</v>
      </c>
      <c r="AJ26" s="297">
        <v>780</v>
      </c>
      <c r="AK26" s="297"/>
      <c r="AL26" s="297"/>
      <c r="AM26" s="318"/>
      <c r="AN26" s="318"/>
      <c r="AO26" s="287"/>
      <c r="AP26" s="287"/>
      <c r="AQ26" s="297">
        <v>2841</v>
      </c>
      <c r="AR26" s="297">
        <v>171</v>
      </c>
      <c r="AS26" s="316">
        <v>898</v>
      </c>
      <c r="AT26" s="316">
        <v>514</v>
      </c>
      <c r="AU26" s="297">
        <v>140</v>
      </c>
      <c r="AV26" s="297">
        <v>-2262</v>
      </c>
      <c r="AW26" s="540"/>
      <c r="AX26" s="316">
        <v>475116.26</v>
      </c>
    </row>
    <row r="27" spans="1:50" x14ac:dyDescent="0.3">
      <c r="A27" s="248" t="s">
        <v>194</v>
      </c>
      <c r="B27" s="304"/>
      <c r="C27" s="295"/>
      <c r="D27" s="532"/>
      <c r="E27" s="297"/>
      <c r="F27" s="297"/>
      <c r="G27" s="306"/>
      <c r="H27" s="297"/>
      <c r="I27" s="297"/>
      <c r="J27" s="297"/>
      <c r="K27" s="297"/>
      <c r="L27" s="297"/>
      <c r="M27" s="309"/>
      <c r="N27" s="309"/>
      <c r="O27" s="297"/>
      <c r="P27" s="297"/>
      <c r="Q27" s="312"/>
      <c r="R27" s="312"/>
      <c r="S27" s="297"/>
      <c r="T27" s="297"/>
      <c r="U27" s="297"/>
      <c r="V27" s="297"/>
      <c r="W27" s="297"/>
      <c r="X27" s="297"/>
      <c r="Y27" s="297"/>
      <c r="Z27" s="297"/>
      <c r="AA27" s="315"/>
      <c r="AB27" s="315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318"/>
      <c r="AN27" s="318"/>
      <c r="AO27" s="319">
        <v>8375</v>
      </c>
      <c r="AP27" s="319">
        <v>6671</v>
      </c>
      <c r="AQ27" s="297"/>
      <c r="AR27" s="297"/>
      <c r="AS27" s="316"/>
      <c r="AT27" s="316"/>
      <c r="AU27" s="297"/>
      <c r="AV27" s="297"/>
      <c r="AW27" s="540"/>
      <c r="AX27" s="316"/>
    </row>
    <row r="28" spans="1:50" x14ac:dyDescent="0.3">
      <c r="A28" s="248" t="s">
        <v>195</v>
      </c>
      <c r="B28" s="304"/>
      <c r="C28" s="295"/>
      <c r="D28" s="532"/>
      <c r="E28" s="297"/>
      <c r="F28" s="297"/>
      <c r="G28" s="306"/>
      <c r="H28" s="297"/>
      <c r="I28" s="297">
        <v>-1006</v>
      </c>
      <c r="J28" s="297"/>
      <c r="K28" s="297"/>
      <c r="L28" s="297"/>
      <c r="M28" s="309"/>
      <c r="N28" s="309">
        <v>250</v>
      </c>
      <c r="O28" s="297"/>
      <c r="P28" s="297"/>
      <c r="Q28" s="312"/>
      <c r="R28" s="312"/>
      <c r="S28" s="297"/>
      <c r="T28" s="297"/>
      <c r="U28" s="297"/>
      <c r="V28" s="297"/>
      <c r="W28" s="297"/>
      <c r="X28" s="297"/>
      <c r="Y28" s="297"/>
      <c r="Z28" s="297"/>
      <c r="AA28" s="315"/>
      <c r="AB28" s="315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318"/>
      <c r="AN28" s="318"/>
      <c r="AO28" s="287"/>
      <c r="AP28" s="287"/>
      <c r="AQ28" s="297"/>
      <c r="AR28" s="297"/>
      <c r="AS28" s="316"/>
      <c r="AT28" s="316"/>
      <c r="AU28" s="297"/>
      <c r="AV28" s="297"/>
      <c r="AW28" s="540"/>
      <c r="AX28" s="316"/>
    </row>
    <row r="29" spans="1:50" x14ac:dyDescent="0.3">
      <c r="A29" s="248" t="s">
        <v>196</v>
      </c>
      <c r="B29" s="304"/>
      <c r="C29" s="295"/>
      <c r="D29" s="532">
        <v>-1</v>
      </c>
      <c r="E29" s="297"/>
      <c r="F29" s="297">
        <v>125</v>
      </c>
      <c r="G29" s="306">
        <v>54</v>
      </c>
      <c r="H29" s="297">
        <v>905</v>
      </c>
      <c r="I29" s="297">
        <v>2677</v>
      </c>
      <c r="J29" s="297">
        <v>-15540</v>
      </c>
      <c r="K29" s="297"/>
      <c r="L29" s="297"/>
      <c r="M29" s="309"/>
      <c r="N29" s="309"/>
      <c r="O29" s="297"/>
      <c r="P29" s="297">
        <v>-918</v>
      </c>
      <c r="Q29" s="312"/>
      <c r="R29" s="312">
        <v>-601</v>
      </c>
      <c r="S29" s="297"/>
      <c r="T29" s="297"/>
      <c r="U29" s="297"/>
      <c r="V29" s="297">
        <v>-500</v>
      </c>
      <c r="W29" s="297">
        <v>2338</v>
      </c>
      <c r="X29" s="297">
        <v>-24427</v>
      </c>
      <c r="Y29" s="297">
        <v>30</v>
      </c>
      <c r="Z29" s="297"/>
      <c r="AA29" s="315">
        <v>-150</v>
      </c>
      <c r="AB29" s="315">
        <v>-170</v>
      </c>
      <c r="AC29" s="297">
        <v>28</v>
      </c>
      <c r="AD29" s="297"/>
      <c r="AE29" s="297">
        <v>-634</v>
      </c>
      <c r="AF29" s="297">
        <v>-2502</v>
      </c>
      <c r="AG29" s="297">
        <v>1023</v>
      </c>
      <c r="AH29" s="297">
        <v>5131</v>
      </c>
      <c r="AI29" s="297"/>
      <c r="AJ29" s="297"/>
      <c r="AK29" s="297"/>
      <c r="AL29" s="297"/>
      <c r="AM29" s="318"/>
      <c r="AN29" s="318"/>
      <c r="AO29" s="319">
        <v>-587</v>
      </c>
      <c r="AP29" s="319">
        <v>-89</v>
      </c>
      <c r="AQ29" s="297"/>
      <c r="AR29" s="297"/>
      <c r="AS29" s="316"/>
      <c r="AT29" s="316">
        <v>-3980</v>
      </c>
      <c r="AU29" s="297"/>
      <c r="AV29" s="297">
        <v>-16</v>
      </c>
      <c r="AW29" s="540"/>
      <c r="AX29" s="316">
        <v>-155819</v>
      </c>
    </row>
    <row r="30" spans="1:50" ht="17.25" x14ac:dyDescent="0.35">
      <c r="A30" s="248" t="s">
        <v>197</v>
      </c>
      <c r="B30" s="304"/>
      <c r="C30" s="296">
        <v>-1</v>
      </c>
      <c r="D30" s="533">
        <v>-1</v>
      </c>
      <c r="E30" s="298"/>
      <c r="F30" s="298"/>
      <c r="G30" s="307"/>
      <c r="H30" s="298"/>
      <c r="I30" s="298"/>
      <c r="J30" s="298"/>
      <c r="K30" s="298"/>
      <c r="L30" s="298"/>
      <c r="M30" s="310"/>
      <c r="N30" s="310"/>
      <c r="O30" s="298"/>
      <c r="P30" s="298"/>
      <c r="Q30" s="313"/>
      <c r="R30" s="313"/>
      <c r="S30" s="298"/>
      <c r="T30" s="298"/>
      <c r="U30" s="298"/>
      <c r="V30" s="298"/>
      <c r="W30" s="298">
        <v>444</v>
      </c>
      <c r="X30" s="298">
        <v>65</v>
      </c>
      <c r="Y30" s="298"/>
      <c r="Z30" s="298"/>
      <c r="AA30" s="315"/>
      <c r="AB30" s="315"/>
      <c r="AC30" s="298"/>
      <c r="AD30" s="298"/>
      <c r="AE30" s="317"/>
      <c r="AF30" s="317"/>
      <c r="AG30" s="298"/>
      <c r="AH30" s="298"/>
      <c r="AI30" s="298"/>
      <c r="AJ30" s="298"/>
      <c r="AK30" s="298"/>
      <c r="AL30" s="298"/>
      <c r="AM30" s="318"/>
      <c r="AN30" s="318"/>
      <c r="AO30" s="321">
        <v>-18</v>
      </c>
      <c r="AP30" s="321">
        <v>-5275</v>
      </c>
      <c r="AQ30" s="297"/>
      <c r="AR30" s="297"/>
      <c r="AS30" s="316"/>
      <c r="AT30" s="316"/>
      <c r="AU30" s="298"/>
      <c r="AV30" s="298"/>
      <c r="AW30" s="307"/>
      <c r="AX30" s="298"/>
    </row>
    <row r="31" spans="1:50" ht="17.25" x14ac:dyDescent="0.35">
      <c r="A31" s="248" t="s">
        <v>247</v>
      </c>
      <c r="B31" s="304"/>
      <c r="C31" s="296"/>
      <c r="D31" s="533"/>
      <c r="E31" s="298"/>
      <c r="F31" s="298"/>
      <c r="G31" s="307"/>
      <c r="H31" s="298"/>
      <c r="I31" s="298">
        <v>69</v>
      </c>
      <c r="J31" s="298"/>
      <c r="K31" s="298"/>
      <c r="L31" s="298"/>
      <c r="M31" s="310"/>
      <c r="N31" s="310"/>
      <c r="O31" s="298"/>
      <c r="P31" s="298"/>
      <c r="Q31" s="313"/>
      <c r="R31" s="313"/>
      <c r="S31" s="298"/>
      <c r="T31" s="298"/>
      <c r="U31" s="298"/>
      <c r="V31" s="298"/>
      <c r="W31" s="298"/>
      <c r="X31" s="298"/>
      <c r="Y31" s="298"/>
      <c r="Z31" s="298"/>
      <c r="AA31" s="315"/>
      <c r="AB31" s="315"/>
      <c r="AC31" s="298"/>
      <c r="AD31" s="298"/>
      <c r="AE31" s="317"/>
      <c r="AF31" s="317"/>
      <c r="AG31" s="298"/>
      <c r="AH31" s="298"/>
      <c r="AI31" s="298">
        <v>498</v>
      </c>
      <c r="AJ31" s="298">
        <v>241</v>
      </c>
      <c r="AK31" s="298"/>
      <c r="AL31" s="298"/>
      <c r="AM31" s="318"/>
      <c r="AN31" s="318"/>
      <c r="AO31" s="321"/>
      <c r="AP31" s="321"/>
      <c r="AQ31" s="297"/>
      <c r="AR31" s="297"/>
      <c r="AS31" s="316"/>
      <c r="AT31" s="316"/>
      <c r="AU31" s="298"/>
      <c r="AV31" s="298"/>
      <c r="AW31" s="307"/>
      <c r="AX31" s="298">
        <v>-660550.05000000005</v>
      </c>
    </row>
    <row r="32" spans="1:50" x14ac:dyDescent="0.3">
      <c r="A32" s="248" t="s">
        <v>198</v>
      </c>
      <c r="B32" s="304"/>
      <c r="C32" s="295">
        <v>5786</v>
      </c>
      <c r="D32" s="532">
        <v>5834</v>
      </c>
      <c r="E32" s="297">
        <v>148</v>
      </c>
      <c r="F32" s="297">
        <v>162</v>
      </c>
      <c r="G32" s="306">
        <v>665</v>
      </c>
      <c r="H32" s="297">
        <v>696</v>
      </c>
      <c r="I32" s="297">
        <v>7629</v>
      </c>
      <c r="J32" s="297"/>
      <c r="K32" s="297">
        <v>376</v>
      </c>
      <c r="L32" s="297">
        <v>332</v>
      </c>
      <c r="M32" s="309">
        <v>3006</v>
      </c>
      <c r="N32" s="309">
        <v>1566</v>
      </c>
      <c r="O32" s="297">
        <v>69</v>
      </c>
      <c r="P32" s="297">
        <v>74</v>
      </c>
      <c r="Q32" s="312">
        <v>386</v>
      </c>
      <c r="R32" s="312">
        <v>373</v>
      </c>
      <c r="S32" s="297"/>
      <c r="T32" s="297">
        <v>207</v>
      </c>
      <c r="U32" s="297">
        <v>129</v>
      </c>
      <c r="V32" s="297">
        <v>153</v>
      </c>
      <c r="W32" s="297">
        <v>17729</v>
      </c>
      <c r="X32" s="297">
        <v>17925</v>
      </c>
      <c r="Y32" s="297">
        <v>32239</v>
      </c>
      <c r="Z32" s="297">
        <v>33384</v>
      </c>
      <c r="AA32" s="316">
        <v>957</v>
      </c>
      <c r="AB32" s="316">
        <v>474</v>
      </c>
      <c r="AC32" s="297">
        <v>1933</v>
      </c>
      <c r="AD32" s="297">
        <v>878.94</v>
      </c>
      <c r="AE32" s="297">
        <v>4120</v>
      </c>
      <c r="AF32" s="297">
        <v>3828</v>
      </c>
      <c r="AG32" s="297">
        <v>9777</v>
      </c>
      <c r="AH32" s="297">
        <v>8596</v>
      </c>
      <c r="AI32" s="297">
        <v>2466</v>
      </c>
      <c r="AJ32" s="297">
        <v>2185</v>
      </c>
      <c r="AK32" s="297">
        <v>1644</v>
      </c>
      <c r="AL32" s="297"/>
      <c r="AM32" s="318"/>
      <c r="AN32" s="318"/>
      <c r="AO32" s="319">
        <v>36108</v>
      </c>
      <c r="AP32" s="319">
        <v>32779</v>
      </c>
      <c r="AQ32" s="297">
        <v>109</v>
      </c>
      <c r="AR32" s="297">
        <v>118</v>
      </c>
      <c r="AS32" s="316">
        <v>540</v>
      </c>
      <c r="AT32" s="316">
        <v>487</v>
      </c>
      <c r="AU32" s="297">
        <v>5714</v>
      </c>
      <c r="AV32" s="297">
        <v>3925</v>
      </c>
      <c r="AW32" s="306"/>
      <c r="AX32" s="297">
        <v>3410</v>
      </c>
    </row>
    <row r="33" spans="1:50" s="588" customFormat="1" ht="18" x14ac:dyDescent="0.35">
      <c r="A33" s="577" t="s">
        <v>199</v>
      </c>
      <c r="B33" s="578"/>
      <c r="C33" s="579">
        <v>127500</v>
      </c>
      <c r="D33" s="580">
        <v>98429</v>
      </c>
      <c r="E33" s="581">
        <v>8143</v>
      </c>
      <c r="F33" s="581">
        <v>9083</v>
      </c>
      <c r="G33" s="582">
        <v>15143</v>
      </c>
      <c r="H33" s="581">
        <v>16562</v>
      </c>
      <c r="I33" s="581">
        <v>213807</v>
      </c>
      <c r="J33" s="581">
        <v>136061</v>
      </c>
      <c r="K33" s="581">
        <v>54645</v>
      </c>
      <c r="L33" s="581">
        <v>47931</v>
      </c>
      <c r="M33" s="583">
        <v>58403</v>
      </c>
      <c r="N33" s="583">
        <v>26998</v>
      </c>
      <c r="O33" s="581">
        <v>16064</v>
      </c>
      <c r="P33" s="581">
        <v>13310</v>
      </c>
      <c r="Q33" s="584">
        <v>31154</v>
      </c>
      <c r="R33" s="584">
        <v>27870</v>
      </c>
      <c r="S33" s="581"/>
      <c r="T33" s="581">
        <v>39976</v>
      </c>
      <c r="U33" s="581">
        <v>28202</v>
      </c>
      <c r="V33" s="581">
        <v>22995</v>
      </c>
      <c r="W33" s="581">
        <v>423149</v>
      </c>
      <c r="X33" s="581">
        <v>306104</v>
      </c>
      <c r="Y33" s="581">
        <v>301793</v>
      </c>
      <c r="Z33" s="581">
        <v>256805</v>
      </c>
      <c r="AA33" s="585">
        <v>21101</v>
      </c>
      <c r="AB33" s="585">
        <v>9125</v>
      </c>
      <c r="AC33" s="581">
        <v>56102</v>
      </c>
      <c r="AD33" s="581">
        <v>23561.77</v>
      </c>
      <c r="AE33" s="581">
        <v>124797</v>
      </c>
      <c r="AF33" s="581">
        <v>97887</v>
      </c>
      <c r="AG33" s="581">
        <v>218677</v>
      </c>
      <c r="AH33" s="581">
        <v>204671</v>
      </c>
      <c r="AI33" s="581">
        <v>90233</v>
      </c>
      <c r="AJ33" s="581">
        <v>69752</v>
      </c>
      <c r="AK33" s="581">
        <v>66721</v>
      </c>
      <c r="AL33" s="581">
        <v>57080</v>
      </c>
      <c r="AM33" s="586"/>
      <c r="AN33" s="586"/>
      <c r="AO33" s="587">
        <v>327953</v>
      </c>
      <c r="AP33" s="587">
        <v>252352</v>
      </c>
      <c r="AQ33" s="581">
        <v>34658</v>
      </c>
      <c r="AR33" s="581">
        <v>30106</v>
      </c>
      <c r="AS33" s="585">
        <v>45108</v>
      </c>
      <c r="AT33" s="585">
        <v>30821</v>
      </c>
      <c r="AU33" s="581">
        <v>246199</v>
      </c>
      <c r="AV33" s="581">
        <v>158973</v>
      </c>
      <c r="AW33" s="582"/>
      <c r="AX33" s="581">
        <v>2489615</v>
      </c>
    </row>
    <row r="34" spans="1:50" x14ac:dyDescent="0.3">
      <c r="A34" s="248" t="s">
        <v>200</v>
      </c>
      <c r="B34" s="299" t="s">
        <v>201</v>
      </c>
      <c r="C34" s="295">
        <v>262215</v>
      </c>
      <c r="D34" s="532">
        <v>330017</v>
      </c>
      <c r="E34" s="297">
        <v>14178</v>
      </c>
      <c r="F34" s="297">
        <v>20691</v>
      </c>
      <c r="G34" s="306">
        <v>48603</v>
      </c>
      <c r="H34" s="297">
        <v>56478</v>
      </c>
      <c r="I34" s="297">
        <v>590333</v>
      </c>
      <c r="J34" s="297">
        <v>394987</v>
      </c>
      <c r="K34" s="297">
        <v>35769</v>
      </c>
      <c r="L34" s="297">
        <v>40212</v>
      </c>
      <c r="M34" s="309">
        <v>165694</v>
      </c>
      <c r="N34" s="309">
        <v>75486</v>
      </c>
      <c r="O34" s="297">
        <v>20371</v>
      </c>
      <c r="P34" s="297">
        <v>26471</v>
      </c>
      <c r="Q34" s="312">
        <v>18193</v>
      </c>
      <c r="R34" s="312">
        <v>14399</v>
      </c>
      <c r="S34" s="297"/>
      <c r="T34" s="297">
        <v>97432</v>
      </c>
      <c r="U34" s="297">
        <v>25768</v>
      </c>
      <c r="V34" s="297">
        <v>26090</v>
      </c>
      <c r="W34" s="297">
        <v>1762063</v>
      </c>
      <c r="X34" s="297">
        <v>1389476</v>
      </c>
      <c r="Y34" s="297">
        <v>1343469</v>
      </c>
      <c r="Z34" s="297">
        <v>1360710</v>
      </c>
      <c r="AA34" s="316">
        <v>53009</v>
      </c>
      <c r="AB34" s="316">
        <v>29439</v>
      </c>
      <c r="AC34" s="297">
        <v>212451</v>
      </c>
      <c r="AD34" s="297">
        <v>190482.12</v>
      </c>
      <c r="AE34" s="297">
        <v>272141</v>
      </c>
      <c r="AF34" s="297">
        <v>277781</v>
      </c>
      <c r="AG34" s="297">
        <v>424271</v>
      </c>
      <c r="AH34" s="297">
        <v>471672</v>
      </c>
      <c r="AI34" s="297">
        <v>119562</v>
      </c>
      <c r="AJ34" s="297">
        <v>148204</v>
      </c>
      <c r="AK34" s="297">
        <v>108230</v>
      </c>
      <c r="AL34" s="297">
        <v>154882</v>
      </c>
      <c r="AM34" s="318"/>
      <c r="AN34" s="318"/>
      <c r="AO34" s="319">
        <v>1274443</v>
      </c>
      <c r="AP34" s="319">
        <v>1745088</v>
      </c>
      <c r="AQ34" s="297">
        <v>33712</v>
      </c>
      <c r="AR34" s="297">
        <v>42061</v>
      </c>
      <c r="AS34" s="316">
        <v>62727</v>
      </c>
      <c r="AT34" s="316">
        <v>68454</v>
      </c>
      <c r="AU34" s="297">
        <v>207358</v>
      </c>
      <c r="AV34" s="297">
        <v>201300</v>
      </c>
      <c r="AW34" s="306"/>
      <c r="AX34" s="297">
        <v>14905586.84</v>
      </c>
    </row>
    <row r="35" spans="1:50" x14ac:dyDescent="0.3">
      <c r="A35" s="248" t="s">
        <v>202</v>
      </c>
      <c r="B35" s="304"/>
      <c r="C35" s="295">
        <v>352</v>
      </c>
      <c r="D35" s="532">
        <v>675</v>
      </c>
      <c r="E35" s="297">
        <v>4</v>
      </c>
      <c r="F35" s="297">
        <v>10</v>
      </c>
      <c r="G35" s="306">
        <v>69</v>
      </c>
      <c r="H35" s="297">
        <v>82</v>
      </c>
      <c r="I35" s="297">
        <v>12008</v>
      </c>
      <c r="J35" s="297">
        <v>8554</v>
      </c>
      <c r="K35" s="297">
        <v>983</v>
      </c>
      <c r="L35" s="297">
        <v>897</v>
      </c>
      <c r="M35" s="309">
        <v>601</v>
      </c>
      <c r="N35" s="309">
        <v>250</v>
      </c>
      <c r="O35" s="297">
        <v>1</v>
      </c>
      <c r="P35" s="297">
        <v>2</v>
      </c>
      <c r="Q35" s="312">
        <v>3</v>
      </c>
      <c r="R35" s="312">
        <v>1</v>
      </c>
      <c r="S35" s="297"/>
      <c r="T35" s="297">
        <v>236</v>
      </c>
      <c r="U35" s="297">
        <v>195</v>
      </c>
      <c r="V35" s="297">
        <v>125</v>
      </c>
      <c r="W35" s="297">
        <v>47859</v>
      </c>
      <c r="X35" s="297">
        <v>24423</v>
      </c>
      <c r="Y35" s="297">
        <v>9968</v>
      </c>
      <c r="Z35" s="297">
        <v>8335</v>
      </c>
      <c r="AA35" s="316">
        <v>31</v>
      </c>
      <c r="AB35" s="316">
        <v>27</v>
      </c>
      <c r="AC35" s="297"/>
      <c r="AD35" s="297"/>
      <c r="AE35" s="297">
        <v>3213</v>
      </c>
      <c r="AF35" s="297">
        <v>2304</v>
      </c>
      <c r="AG35" s="297">
        <v>135</v>
      </c>
      <c r="AH35" s="297">
        <v>243</v>
      </c>
      <c r="AI35" s="297">
        <v>162</v>
      </c>
      <c r="AJ35" s="297">
        <v>250</v>
      </c>
      <c r="AK35" s="297">
        <v>23</v>
      </c>
      <c r="AL35" s="297">
        <v>25</v>
      </c>
      <c r="AM35" s="318"/>
      <c r="AN35" s="318"/>
      <c r="AO35" s="319">
        <v>6398</v>
      </c>
      <c r="AP35" s="319">
        <v>4296</v>
      </c>
      <c r="AQ35" s="297">
        <v>21.93</v>
      </c>
      <c r="AR35" s="297">
        <v>18</v>
      </c>
      <c r="AS35" s="316"/>
      <c r="AT35" s="316">
        <v>1</v>
      </c>
      <c r="AU35" s="297"/>
      <c r="AV35" s="297"/>
      <c r="AW35" s="306"/>
      <c r="AX35" s="297">
        <v>141531.43</v>
      </c>
    </row>
    <row r="36" spans="1:50" ht="17.25" x14ac:dyDescent="0.35">
      <c r="A36" s="248" t="s">
        <v>203</v>
      </c>
      <c r="B36" s="304"/>
      <c r="C36" s="296"/>
      <c r="D36" s="533"/>
      <c r="E36" s="298"/>
      <c r="F36" s="298"/>
      <c r="G36" s="307"/>
      <c r="H36" s="298"/>
      <c r="I36" s="298"/>
      <c r="J36" s="298"/>
      <c r="K36" s="298"/>
      <c r="L36" s="298"/>
      <c r="M36" s="310"/>
      <c r="N36" s="310"/>
      <c r="O36" s="298"/>
      <c r="P36" s="298"/>
      <c r="Q36" s="313"/>
      <c r="R36" s="313"/>
      <c r="S36" s="298"/>
      <c r="T36" s="298"/>
      <c r="U36" s="298"/>
      <c r="V36" s="298"/>
      <c r="W36" s="298"/>
      <c r="X36" s="298"/>
      <c r="Y36" s="298"/>
      <c r="Z36" s="298"/>
      <c r="AA36" s="315"/>
      <c r="AB36" s="315"/>
      <c r="AC36" s="298"/>
      <c r="AD36" s="298"/>
      <c r="AE36" s="317"/>
      <c r="AF36" s="317"/>
      <c r="AG36" s="298"/>
      <c r="AH36" s="298"/>
      <c r="AI36" s="298"/>
      <c r="AJ36" s="298"/>
      <c r="AK36" s="298"/>
      <c r="AL36" s="298"/>
      <c r="AM36" s="318"/>
      <c r="AN36" s="318"/>
      <c r="AO36" s="287"/>
      <c r="AP36" s="287"/>
      <c r="AQ36" s="297"/>
      <c r="AR36" s="297"/>
      <c r="AS36" s="316"/>
      <c r="AT36" s="316"/>
      <c r="AU36" s="298"/>
      <c r="AV36" s="298"/>
      <c r="AW36" s="307"/>
      <c r="AX36" s="298"/>
    </row>
    <row r="37" spans="1:50" x14ac:dyDescent="0.3">
      <c r="A37" s="248" t="s">
        <v>204</v>
      </c>
      <c r="B37" s="304"/>
      <c r="C37" s="295">
        <v>360499</v>
      </c>
      <c r="D37" s="532">
        <v>243073</v>
      </c>
      <c r="E37" s="297">
        <v>7488</v>
      </c>
      <c r="F37" s="297">
        <v>11454</v>
      </c>
      <c r="G37" s="306">
        <v>26358</v>
      </c>
      <c r="H37" s="297">
        <v>34500</v>
      </c>
      <c r="I37" s="297">
        <v>204268</v>
      </c>
      <c r="J37" s="297">
        <v>262697</v>
      </c>
      <c r="K37" s="297">
        <v>75655</v>
      </c>
      <c r="L37" s="297">
        <v>90979</v>
      </c>
      <c r="M37" s="309">
        <v>91659</v>
      </c>
      <c r="N37" s="309">
        <v>78389</v>
      </c>
      <c r="O37" s="297">
        <v>40750</v>
      </c>
      <c r="P37" s="297">
        <v>36120</v>
      </c>
      <c r="Q37" s="312">
        <v>39123</v>
      </c>
      <c r="R37" s="312">
        <v>60857</v>
      </c>
      <c r="S37" s="297"/>
      <c r="T37" s="297">
        <v>101538</v>
      </c>
      <c r="U37" s="297">
        <v>38913</v>
      </c>
      <c r="V37" s="297">
        <v>22278</v>
      </c>
      <c r="W37" s="297">
        <v>626133</v>
      </c>
      <c r="X37" s="297">
        <v>990512</v>
      </c>
      <c r="Y37" s="297">
        <v>734976</v>
      </c>
      <c r="Z37" s="297">
        <v>671918</v>
      </c>
      <c r="AA37" s="315">
        <v>54012</v>
      </c>
      <c r="AB37" s="315">
        <v>29293</v>
      </c>
      <c r="AC37" s="297">
        <v>38526</v>
      </c>
      <c r="AD37" s="297">
        <v>-69128.070000000007</v>
      </c>
      <c r="AE37" s="297">
        <v>231386</v>
      </c>
      <c r="AF37" s="297">
        <v>161030</v>
      </c>
      <c r="AG37" s="297">
        <v>506221</v>
      </c>
      <c r="AH37" s="297">
        <v>439250</v>
      </c>
      <c r="AI37" s="297">
        <v>232937</v>
      </c>
      <c r="AJ37" s="297">
        <v>168192</v>
      </c>
      <c r="AK37" s="297">
        <v>122047</v>
      </c>
      <c r="AL37" s="297">
        <v>163790</v>
      </c>
      <c r="AM37" s="318"/>
      <c r="AN37" s="318"/>
      <c r="AO37" s="319">
        <v>991818</v>
      </c>
      <c r="AP37" s="319">
        <v>690495</v>
      </c>
      <c r="AQ37" s="297">
        <v>51527</v>
      </c>
      <c r="AR37" s="297">
        <v>46634</v>
      </c>
      <c r="AS37" s="316">
        <v>203769</v>
      </c>
      <c r="AT37" s="316">
        <v>135168</v>
      </c>
      <c r="AU37" s="297">
        <v>361769</v>
      </c>
      <c r="AV37" s="297">
        <v>287858</v>
      </c>
      <c r="AW37" s="306"/>
      <c r="AX37" s="297">
        <v>16325826.470000001</v>
      </c>
    </row>
    <row r="38" spans="1:50" x14ac:dyDescent="0.3">
      <c r="A38" s="248" t="s">
        <v>205</v>
      </c>
      <c r="B38" s="304"/>
      <c r="C38" s="295">
        <v>-1747</v>
      </c>
      <c r="D38" s="532">
        <v>-13201</v>
      </c>
      <c r="E38" s="297">
        <v>-110</v>
      </c>
      <c r="F38" s="297">
        <v>-2523</v>
      </c>
      <c r="G38" s="306">
        <v>4679</v>
      </c>
      <c r="H38" s="297">
        <v>-3803</v>
      </c>
      <c r="I38" s="297">
        <v>1451</v>
      </c>
      <c r="J38" s="297">
        <v>-5227</v>
      </c>
      <c r="K38" s="297">
        <v>61</v>
      </c>
      <c r="L38" s="297">
        <v>-649</v>
      </c>
      <c r="M38" s="309">
        <v>-4461</v>
      </c>
      <c r="N38" s="309">
        <v>-990</v>
      </c>
      <c r="O38" s="297">
        <v>971</v>
      </c>
      <c r="P38" s="297">
        <v>-89</v>
      </c>
      <c r="Q38" s="312">
        <v>910</v>
      </c>
      <c r="R38" s="312">
        <v>-565</v>
      </c>
      <c r="S38" s="297"/>
      <c r="T38" s="297">
        <v>-7885</v>
      </c>
      <c r="U38" s="297">
        <v>295</v>
      </c>
      <c r="V38" s="297">
        <v>-1431</v>
      </c>
      <c r="W38" s="297">
        <v>-33883</v>
      </c>
      <c r="X38" s="297">
        <v>-63982</v>
      </c>
      <c r="Y38" s="297">
        <v>-24702</v>
      </c>
      <c r="Z38" s="297">
        <v>-28778</v>
      </c>
      <c r="AA38" s="315">
        <v>1697</v>
      </c>
      <c r="AB38" s="315">
        <v>-87</v>
      </c>
      <c r="AC38" s="297"/>
      <c r="AD38" s="297"/>
      <c r="AE38" s="297">
        <v>-1712</v>
      </c>
      <c r="AF38" s="297">
        <v>-3090</v>
      </c>
      <c r="AG38" s="297">
        <v>439</v>
      </c>
      <c r="AH38" s="297">
        <v>-4946</v>
      </c>
      <c r="AI38" s="297">
        <v>-8880</v>
      </c>
      <c r="AJ38" s="297">
        <v>-7432</v>
      </c>
      <c r="AK38" s="297"/>
      <c r="AL38" s="297"/>
      <c r="AM38" s="318"/>
      <c r="AN38" s="318"/>
      <c r="AO38" s="319">
        <v>-23077</v>
      </c>
      <c r="AP38" s="319">
        <v>-1170</v>
      </c>
      <c r="AQ38" s="297"/>
      <c r="AR38" s="297"/>
      <c r="AS38" s="316">
        <v>-9068</v>
      </c>
      <c r="AT38" s="316">
        <v>-7996</v>
      </c>
      <c r="AU38" s="297">
        <v>-1333</v>
      </c>
      <c r="AV38" s="297">
        <v>-437</v>
      </c>
      <c r="AW38" s="306"/>
      <c r="AX38" s="297"/>
    </row>
    <row r="39" spans="1:50" x14ac:dyDescent="0.3">
      <c r="A39" s="248" t="s">
        <v>206</v>
      </c>
      <c r="B39" s="304"/>
      <c r="C39" s="295"/>
      <c r="D39" s="532"/>
      <c r="E39" s="297"/>
      <c r="F39" s="297"/>
      <c r="G39" s="306"/>
      <c r="H39" s="297"/>
      <c r="I39" s="297"/>
      <c r="J39" s="297"/>
      <c r="K39" s="297"/>
      <c r="L39" s="297"/>
      <c r="M39" s="309"/>
      <c r="N39" s="309"/>
      <c r="O39" s="297"/>
      <c r="P39" s="297"/>
      <c r="Q39" s="312"/>
      <c r="R39" s="312"/>
      <c r="S39" s="297"/>
      <c r="T39" s="297"/>
      <c r="U39" s="297"/>
      <c r="V39" s="297"/>
      <c r="W39" s="297"/>
      <c r="X39" s="297"/>
      <c r="Y39" s="297">
        <v>-2</v>
      </c>
      <c r="Z39" s="297">
        <v>-3</v>
      </c>
      <c r="AA39" s="315"/>
      <c r="AB39" s="315"/>
      <c r="AC39" s="297"/>
      <c r="AD39" s="297"/>
      <c r="AE39" s="297"/>
      <c r="AF39" s="297"/>
      <c r="AG39" s="297"/>
      <c r="AH39" s="297"/>
      <c r="AI39" s="297"/>
      <c r="AJ39" s="297"/>
      <c r="AK39" s="297"/>
      <c r="AL39" s="297"/>
      <c r="AM39" s="318"/>
      <c r="AN39" s="318"/>
      <c r="AO39" s="287"/>
      <c r="AP39" s="287"/>
      <c r="AQ39" s="297"/>
      <c r="AR39" s="297"/>
      <c r="AS39" s="316"/>
      <c r="AT39" s="316"/>
      <c r="AU39" s="297"/>
      <c r="AV39" s="297"/>
      <c r="AW39" s="306"/>
      <c r="AX39" s="297"/>
    </row>
    <row r="40" spans="1:50" x14ac:dyDescent="0.3">
      <c r="A40" s="248" t="s">
        <v>207</v>
      </c>
      <c r="B40" s="304"/>
      <c r="C40" s="295">
        <v>-10883</v>
      </c>
      <c r="D40" s="532">
        <v>209710</v>
      </c>
      <c r="E40" s="297"/>
      <c r="F40" s="297">
        <v>10000</v>
      </c>
      <c r="G40" s="306"/>
      <c r="H40" s="297"/>
      <c r="I40" s="297">
        <v>-6721</v>
      </c>
      <c r="J40" s="297">
        <v>428275</v>
      </c>
      <c r="K40" s="297"/>
      <c r="L40" s="297"/>
      <c r="M40" s="309"/>
      <c r="N40" s="309"/>
      <c r="O40" s="61">
        <v>-2025</v>
      </c>
      <c r="P40" s="297">
        <v>42</v>
      </c>
      <c r="Q40" s="312"/>
      <c r="R40" s="312"/>
      <c r="S40" s="297"/>
      <c r="T40" s="297">
        <v>20415</v>
      </c>
      <c r="U40" s="297">
        <v>-5019</v>
      </c>
      <c r="V40" s="297">
        <v>2582</v>
      </c>
      <c r="W40" s="297">
        <v>-127648</v>
      </c>
      <c r="X40" s="297">
        <v>801298</v>
      </c>
      <c r="Y40" s="297"/>
      <c r="Z40" s="297"/>
      <c r="AA40" s="315">
        <v>-5153</v>
      </c>
      <c r="AB40" s="315">
        <v>35455</v>
      </c>
      <c r="AC40" s="297">
        <v>10423</v>
      </c>
      <c r="AD40" s="297">
        <v>50190.83</v>
      </c>
      <c r="AE40" s="297">
        <v>-20790</v>
      </c>
      <c r="AF40" s="297">
        <v>264502</v>
      </c>
      <c r="AG40" s="297"/>
      <c r="AH40" s="297"/>
      <c r="AI40" s="297">
        <v>-24992</v>
      </c>
      <c r="AJ40" s="297"/>
      <c r="AK40" s="297">
        <v>-14989</v>
      </c>
      <c r="AL40" s="297"/>
      <c r="AM40" s="318"/>
      <c r="AN40" s="318"/>
      <c r="AO40" s="319"/>
      <c r="AP40" s="319"/>
      <c r="AQ40" s="297"/>
      <c r="AR40" s="297"/>
      <c r="AS40" s="316"/>
      <c r="AT40" s="316"/>
      <c r="AU40" s="297">
        <v>74695</v>
      </c>
      <c r="AV40" s="297">
        <v>273451</v>
      </c>
      <c r="AW40" s="306"/>
      <c r="AX40" s="297"/>
    </row>
    <row r="41" spans="1:50" ht="17.25" x14ac:dyDescent="0.35">
      <c r="A41" s="248" t="s">
        <v>208</v>
      </c>
      <c r="B41" s="304"/>
      <c r="C41" s="296">
        <v>21549</v>
      </c>
      <c r="D41" s="533">
        <v>17493</v>
      </c>
      <c r="E41" s="298"/>
      <c r="F41" s="298"/>
      <c r="G41" s="307">
        <v>2078</v>
      </c>
      <c r="H41" s="298">
        <v>1681</v>
      </c>
      <c r="I41" s="298">
        <v>9669</v>
      </c>
      <c r="J41" s="298"/>
      <c r="K41" s="298"/>
      <c r="L41" s="298"/>
      <c r="M41" s="310">
        <v>6508</v>
      </c>
      <c r="N41" s="310">
        <v>-2963</v>
      </c>
      <c r="O41" s="61">
        <v>-956</v>
      </c>
      <c r="P41" s="298">
        <v>311</v>
      </c>
      <c r="Q41" s="313"/>
      <c r="R41" s="313"/>
      <c r="S41" s="298"/>
      <c r="T41" s="298">
        <v>325</v>
      </c>
      <c r="U41" s="298">
        <v>4199</v>
      </c>
      <c r="V41" s="298">
        <v>3482</v>
      </c>
      <c r="W41" s="298">
        <v>-4589</v>
      </c>
      <c r="X41" s="298">
        <v>37980</v>
      </c>
      <c r="Y41" s="298">
        <v>-65373</v>
      </c>
      <c r="Z41" s="298">
        <v>43787</v>
      </c>
      <c r="AA41" s="315">
        <v>-801</v>
      </c>
      <c r="AB41" s="315">
        <v>392</v>
      </c>
      <c r="AC41" s="298">
        <v>4260</v>
      </c>
      <c r="AD41" s="298">
        <v>1280</v>
      </c>
      <c r="AE41" s="317">
        <v>-404</v>
      </c>
      <c r="AF41" s="317">
        <v>10520</v>
      </c>
      <c r="AG41" s="298">
        <v>54316</v>
      </c>
      <c r="AH41" s="298">
        <v>312179</v>
      </c>
      <c r="AI41" s="298">
        <v>15374</v>
      </c>
      <c r="AJ41" s="298">
        <v>17830</v>
      </c>
      <c r="AK41" s="298">
        <v>12645</v>
      </c>
      <c r="AL41" s="298"/>
      <c r="AM41" s="318"/>
      <c r="AN41" s="318"/>
      <c r="AO41" s="319">
        <v>63093</v>
      </c>
      <c r="AP41" s="319">
        <v>129025</v>
      </c>
      <c r="AQ41" s="297">
        <v>-2217</v>
      </c>
      <c r="AR41" s="297">
        <v>210</v>
      </c>
      <c r="AS41" s="297">
        <v>3479</v>
      </c>
      <c r="AT41" s="297">
        <v>2918</v>
      </c>
      <c r="AU41" s="298">
        <v>14994</v>
      </c>
      <c r="AV41" s="298">
        <v>21074</v>
      </c>
      <c r="AW41" s="307"/>
      <c r="AX41" s="298">
        <v>1343</v>
      </c>
    </row>
    <row r="42" spans="1:50" ht="17.25" x14ac:dyDescent="0.35">
      <c r="A42" s="248" t="s">
        <v>235</v>
      </c>
      <c r="B42" s="304"/>
      <c r="C42" s="296"/>
      <c r="D42" s="533"/>
      <c r="E42" s="298"/>
      <c r="F42" s="298"/>
      <c r="G42" s="307">
        <v>-17942</v>
      </c>
      <c r="H42" s="298">
        <v>25980</v>
      </c>
      <c r="I42" s="298"/>
      <c r="J42" s="298"/>
      <c r="K42" s="298"/>
      <c r="L42" s="298"/>
      <c r="M42" s="310">
        <v>-24177</v>
      </c>
      <c r="N42" s="310">
        <v>89335</v>
      </c>
      <c r="O42" s="298"/>
      <c r="P42" s="298"/>
      <c r="Q42" s="313"/>
      <c r="R42" s="313"/>
      <c r="S42" s="298"/>
      <c r="T42" s="298"/>
      <c r="U42" s="298"/>
      <c r="V42" s="298"/>
      <c r="W42" s="298"/>
      <c r="X42" s="298"/>
      <c r="Y42" s="298">
        <v>-256289</v>
      </c>
      <c r="Z42" s="298">
        <v>1606231</v>
      </c>
      <c r="AA42" s="315"/>
      <c r="AB42" s="315"/>
      <c r="AC42" s="298"/>
      <c r="AD42" s="298"/>
      <c r="AE42" s="317"/>
      <c r="AF42" s="317"/>
      <c r="AG42" s="298">
        <v>12011</v>
      </c>
      <c r="AH42" s="298"/>
      <c r="AI42" s="298"/>
      <c r="AJ42" s="298">
        <v>77948</v>
      </c>
      <c r="AK42" s="298"/>
      <c r="AL42" s="298"/>
      <c r="AM42" s="318"/>
      <c r="AN42" s="318"/>
      <c r="AO42" s="319">
        <v>514293</v>
      </c>
      <c r="AP42" s="319">
        <v>1254783</v>
      </c>
      <c r="AQ42" s="297">
        <v>149</v>
      </c>
      <c r="AR42" s="297">
        <v>2231</v>
      </c>
      <c r="AS42" s="297">
        <v>-2639</v>
      </c>
      <c r="AT42" s="297">
        <v>18450</v>
      </c>
      <c r="AU42" s="298"/>
      <c r="AV42" s="298"/>
      <c r="AW42" s="307"/>
      <c r="AX42" s="298">
        <v>-938633</v>
      </c>
    </row>
    <row r="43" spans="1:50" ht="17.25" x14ac:dyDescent="0.35">
      <c r="A43" s="248" t="s">
        <v>236</v>
      </c>
      <c r="B43" s="304"/>
      <c r="C43" s="296"/>
      <c r="D43" s="533"/>
      <c r="E43" s="298"/>
      <c r="F43" s="298"/>
      <c r="G43" s="307"/>
      <c r="H43" s="298"/>
      <c r="I43" s="298">
        <v>359</v>
      </c>
      <c r="J43" s="298">
        <v>14485</v>
      </c>
      <c r="K43" s="298"/>
      <c r="L43" s="298"/>
      <c r="M43" s="310"/>
      <c r="N43" s="310"/>
      <c r="O43" s="298"/>
      <c r="P43" s="298"/>
      <c r="Q43" s="313"/>
      <c r="R43" s="313"/>
      <c r="S43" s="298"/>
      <c r="T43" s="298"/>
      <c r="U43" s="298"/>
      <c r="V43" s="298"/>
      <c r="W43" s="298"/>
      <c r="X43" s="298"/>
      <c r="Y43" s="298"/>
      <c r="Z43" s="298"/>
      <c r="AA43" s="315"/>
      <c r="AB43" s="315"/>
      <c r="AC43" s="298"/>
      <c r="AD43" s="298"/>
      <c r="AE43" s="317"/>
      <c r="AF43" s="317"/>
      <c r="AG43" s="298"/>
      <c r="AH43" s="298"/>
      <c r="AI43" s="298"/>
      <c r="AJ43" s="298"/>
      <c r="AK43" s="298"/>
      <c r="AL43" s="298"/>
      <c r="AM43" s="318"/>
      <c r="AN43" s="318"/>
      <c r="AO43" s="319"/>
      <c r="AP43" s="319"/>
      <c r="AQ43" s="297"/>
      <c r="AR43" s="297"/>
      <c r="AS43" s="297"/>
      <c r="AT43" s="297"/>
      <c r="AU43" s="298"/>
      <c r="AV43" s="298"/>
      <c r="AW43" s="307"/>
      <c r="AX43" s="298"/>
    </row>
    <row r="44" spans="1:50" ht="17.25" x14ac:dyDescent="0.35">
      <c r="A44" s="248" t="s">
        <v>250</v>
      </c>
      <c r="B44" s="304"/>
      <c r="C44" s="296"/>
      <c r="D44" s="533"/>
      <c r="E44" s="298"/>
      <c r="F44" s="298"/>
      <c r="G44" s="307"/>
      <c r="H44" s="298"/>
      <c r="I44" s="298"/>
      <c r="J44" s="298"/>
      <c r="K44" s="298"/>
      <c r="L44" s="298"/>
      <c r="M44" s="310"/>
      <c r="N44" s="310"/>
      <c r="O44" s="298"/>
      <c r="P44" s="298"/>
      <c r="Q44" s="313"/>
      <c r="R44" s="313"/>
      <c r="S44" s="298"/>
      <c r="T44" s="298"/>
      <c r="U44" s="298"/>
      <c r="V44" s="298"/>
      <c r="W44" s="298"/>
      <c r="X44" s="298"/>
      <c r="Y44" s="298"/>
      <c r="Z44" s="298"/>
      <c r="AA44" s="315"/>
      <c r="AB44" s="315"/>
      <c r="AC44" s="298"/>
      <c r="AD44" s="298"/>
      <c r="AE44" s="317"/>
      <c r="AF44" s="317"/>
      <c r="AG44" s="298"/>
      <c r="AH44" s="298"/>
      <c r="AI44" s="298"/>
      <c r="AJ44" s="298"/>
      <c r="AK44" s="298"/>
      <c r="AL44" s="298"/>
      <c r="AM44" s="318"/>
      <c r="AN44" s="318"/>
      <c r="AO44" s="319"/>
      <c r="AP44" s="319"/>
      <c r="AQ44" s="297"/>
      <c r="AR44" s="297"/>
      <c r="AS44" s="297"/>
      <c r="AT44" s="297"/>
      <c r="AU44" s="298"/>
      <c r="AV44" s="298"/>
      <c r="AW44" s="307"/>
      <c r="AX44" s="298"/>
    </row>
    <row r="45" spans="1:50" s="588" customFormat="1" ht="18" x14ac:dyDescent="0.35">
      <c r="A45" s="577" t="s">
        <v>209</v>
      </c>
      <c r="B45" s="578"/>
      <c r="C45" s="579">
        <v>631985</v>
      </c>
      <c r="D45" s="580">
        <v>787767</v>
      </c>
      <c r="E45" s="581">
        <v>21560</v>
      </c>
      <c r="F45" s="581">
        <v>39632</v>
      </c>
      <c r="G45" s="582">
        <v>63845</v>
      </c>
      <c r="H45" s="581">
        <v>114918</v>
      </c>
      <c r="I45" s="581">
        <v>811367</v>
      </c>
      <c r="J45" s="581">
        <v>1103468</v>
      </c>
      <c r="K45" s="581">
        <v>112467</v>
      </c>
      <c r="L45" s="581">
        <v>131440</v>
      </c>
      <c r="M45" s="583">
        <v>235824</v>
      </c>
      <c r="N45" s="583">
        <v>239507</v>
      </c>
      <c r="O45" s="581">
        <v>59111</v>
      </c>
      <c r="P45" s="581">
        <v>62857</v>
      </c>
      <c r="Q45" s="584">
        <v>58229</v>
      </c>
      <c r="R45" s="584">
        <v>74691</v>
      </c>
      <c r="S45" s="581"/>
      <c r="T45" s="581">
        <v>212061</v>
      </c>
      <c r="U45" s="581">
        <v>64351</v>
      </c>
      <c r="V45" s="581">
        <v>58126</v>
      </c>
      <c r="W45" s="581">
        <v>2269935</v>
      </c>
      <c r="X45" s="581">
        <v>3179707</v>
      </c>
      <c r="Y45" s="581">
        <v>1742047</v>
      </c>
      <c r="Z45" s="581">
        <v>3662200</v>
      </c>
      <c r="AA45" s="585">
        <v>102795</v>
      </c>
      <c r="AB45" s="585">
        <v>94519</v>
      </c>
      <c r="AC45" s="581">
        <v>265662</v>
      </c>
      <c r="AD45" s="581">
        <v>172825.87</v>
      </c>
      <c r="AE45" s="581">
        <v>483834</v>
      </c>
      <c r="AF45" s="581">
        <v>713047</v>
      </c>
      <c r="AG45" s="581">
        <v>997393</v>
      </c>
      <c r="AH45" s="581">
        <v>1288761</v>
      </c>
      <c r="AI45" s="581">
        <v>334163</v>
      </c>
      <c r="AJ45" s="581">
        <v>404992</v>
      </c>
      <c r="AK45" s="581">
        <v>227955</v>
      </c>
      <c r="AL45" s="581">
        <v>318697</v>
      </c>
      <c r="AM45" s="586"/>
      <c r="AN45" s="586"/>
      <c r="AO45" s="587">
        <v>2826968</v>
      </c>
      <c r="AP45" s="587">
        <v>3824857</v>
      </c>
      <c r="AQ45" s="581">
        <v>83194</v>
      </c>
      <c r="AR45" s="581">
        <v>91156</v>
      </c>
      <c r="AS45" s="585">
        <v>258269</v>
      </c>
      <c r="AT45" s="585">
        <v>217085</v>
      </c>
      <c r="AU45" s="581">
        <v>657483</v>
      </c>
      <c r="AV45" s="581">
        <v>783246</v>
      </c>
      <c r="AW45" s="582"/>
      <c r="AX45" s="581">
        <v>30875963.809999999</v>
      </c>
    </row>
    <row r="46" spans="1:50" s="588" customFormat="1" ht="18" x14ac:dyDescent="0.35">
      <c r="A46" s="577" t="s">
        <v>210</v>
      </c>
      <c r="B46" s="578"/>
      <c r="C46" s="579">
        <v>11617</v>
      </c>
      <c r="D46" s="580">
        <v>14021</v>
      </c>
      <c r="E46" s="581">
        <v>3095</v>
      </c>
      <c r="F46" s="581">
        <v>-4053</v>
      </c>
      <c r="G46" s="582">
        <v>3611</v>
      </c>
      <c r="H46" s="581">
        <v>2192</v>
      </c>
      <c r="I46" s="581">
        <v>-11252</v>
      </c>
      <c r="J46" s="581">
        <v>-18985</v>
      </c>
      <c r="K46" s="581">
        <v>-14489</v>
      </c>
      <c r="L46" s="581">
        <v>-17705</v>
      </c>
      <c r="M46" s="583">
        <v>5028</v>
      </c>
      <c r="N46" s="583">
        <v>-7093</v>
      </c>
      <c r="O46" s="581">
        <v>7206</v>
      </c>
      <c r="P46" s="581">
        <v>-5161</v>
      </c>
      <c r="Q46" s="584">
        <v>211</v>
      </c>
      <c r="R46" s="584">
        <v>131</v>
      </c>
      <c r="S46" s="581"/>
      <c r="T46" s="581">
        <v>750</v>
      </c>
      <c r="U46" s="581">
        <v>2329</v>
      </c>
      <c r="V46" s="581"/>
      <c r="W46" s="581">
        <v>47080</v>
      </c>
      <c r="X46" s="581">
        <v>22308</v>
      </c>
      <c r="Y46" s="581">
        <v>100476</v>
      </c>
      <c r="Z46" s="581">
        <v>66339</v>
      </c>
      <c r="AA46" s="585">
        <v>4740</v>
      </c>
      <c r="AB46" s="316">
        <v>1687</v>
      </c>
      <c r="AC46" s="581">
        <v>4568</v>
      </c>
      <c r="AD46" s="581">
        <v>10303.1</v>
      </c>
      <c r="AE46" s="581">
        <v>37896</v>
      </c>
      <c r="AF46" s="581">
        <v>-18133</v>
      </c>
      <c r="AG46" s="581">
        <v>25782</v>
      </c>
      <c r="AH46" s="581">
        <v>14899</v>
      </c>
      <c r="AI46" s="581">
        <v>4184</v>
      </c>
      <c r="AJ46" s="581">
        <v>17455</v>
      </c>
      <c r="AK46" s="581">
        <v>4844</v>
      </c>
      <c r="AL46" s="581">
        <v>3278</v>
      </c>
      <c r="AM46" s="586"/>
      <c r="AN46" s="586"/>
      <c r="AO46" s="587">
        <v>61717</v>
      </c>
      <c r="AP46" s="587">
        <v>36893</v>
      </c>
      <c r="AQ46" s="581">
        <v>5404</v>
      </c>
      <c r="AR46" s="581">
        <v>-9075</v>
      </c>
      <c r="AS46" s="585">
        <v>4973</v>
      </c>
      <c r="AT46" s="585">
        <v>-7663</v>
      </c>
      <c r="AU46" s="581">
        <v>48300</v>
      </c>
      <c r="AV46" s="581">
        <v>3283</v>
      </c>
      <c r="AW46" s="582"/>
      <c r="AX46" s="581"/>
    </row>
    <row r="47" spans="1:50" x14ac:dyDescent="0.3">
      <c r="A47" s="299" t="s">
        <v>245</v>
      </c>
      <c r="B47" s="304"/>
      <c r="C47" s="296"/>
      <c r="D47" s="533"/>
      <c r="E47" s="297"/>
      <c r="F47" s="297"/>
      <c r="G47" s="306"/>
      <c r="H47" s="297"/>
      <c r="I47" s="297"/>
      <c r="J47" s="297"/>
      <c r="K47" s="297"/>
      <c r="L47" s="297"/>
      <c r="M47" s="309"/>
      <c r="N47" s="309"/>
      <c r="O47" s="297"/>
      <c r="P47" s="297"/>
      <c r="Q47" s="313"/>
      <c r="R47" s="313"/>
      <c r="S47" s="297"/>
      <c r="T47" s="297"/>
      <c r="U47" s="297"/>
      <c r="V47" s="297"/>
      <c r="W47" s="297"/>
      <c r="X47" s="297"/>
      <c r="Y47" s="297">
        <v>-8666</v>
      </c>
      <c r="Z47" s="297">
        <v>-2604</v>
      </c>
      <c r="AA47" s="316">
        <v>101</v>
      </c>
      <c r="AB47" s="316">
        <v>184</v>
      </c>
      <c r="AC47" s="297"/>
      <c r="AD47" s="297"/>
      <c r="AE47" s="297"/>
      <c r="AF47" s="297"/>
      <c r="AG47" s="297"/>
      <c r="AH47" s="297"/>
      <c r="AI47" s="297"/>
      <c r="AJ47" s="297"/>
      <c r="AK47" s="297"/>
      <c r="AL47" s="297"/>
      <c r="AM47" s="318"/>
      <c r="AN47" s="318"/>
      <c r="AO47" s="320"/>
      <c r="AP47" s="320"/>
      <c r="AQ47" s="297"/>
      <c r="AR47" s="297"/>
      <c r="AS47" s="316"/>
      <c r="AT47" s="316"/>
      <c r="AU47" s="297"/>
      <c r="AV47" s="297"/>
      <c r="AW47" s="306"/>
      <c r="AX47" s="297"/>
    </row>
    <row r="48" spans="1:50" x14ac:dyDescent="0.3">
      <c r="A48" s="299" t="s">
        <v>211</v>
      </c>
      <c r="B48" s="304"/>
      <c r="C48" s="295"/>
      <c r="D48" s="532"/>
      <c r="E48" s="297"/>
      <c r="F48" s="297"/>
      <c r="G48" s="306"/>
      <c r="H48" s="297"/>
      <c r="I48" s="297"/>
      <c r="J48" s="297"/>
      <c r="K48" s="297"/>
      <c r="L48" s="297"/>
      <c r="M48" s="309"/>
      <c r="N48" s="309"/>
      <c r="O48" s="297"/>
      <c r="P48" s="297"/>
      <c r="Q48" s="312"/>
      <c r="R48" s="312"/>
      <c r="S48" s="297"/>
      <c r="T48" s="297"/>
      <c r="U48" s="297"/>
      <c r="V48" s="297"/>
      <c r="W48" s="297"/>
      <c r="X48" s="297"/>
      <c r="Y48" s="297"/>
      <c r="Z48" s="297"/>
      <c r="AA48" s="316"/>
      <c r="AB48" s="316"/>
      <c r="AC48" s="297"/>
      <c r="AD48" s="297"/>
      <c r="AE48" s="297"/>
      <c r="AF48" s="297"/>
      <c r="AG48" s="297"/>
      <c r="AH48" s="297"/>
      <c r="AI48" s="297"/>
      <c r="AJ48" s="297"/>
      <c r="AK48" s="297"/>
      <c r="AL48" s="297"/>
      <c r="AM48" s="318"/>
      <c r="AN48" s="318"/>
      <c r="AO48" s="287"/>
      <c r="AP48" s="287"/>
      <c r="AQ48" s="297"/>
      <c r="AR48" s="297"/>
      <c r="AS48" s="316"/>
      <c r="AT48" s="316"/>
      <c r="AU48" s="297"/>
      <c r="AV48" s="297"/>
      <c r="AW48" s="306"/>
      <c r="AX48" s="297"/>
    </row>
    <row r="49" spans="1:50" x14ac:dyDescent="0.3">
      <c r="A49" s="299" t="s">
        <v>240</v>
      </c>
      <c r="B49" s="304"/>
      <c r="C49" s="295"/>
      <c r="D49" s="532"/>
      <c r="E49" s="297"/>
      <c r="F49" s="297"/>
      <c r="G49" s="306"/>
      <c r="H49" s="297"/>
      <c r="I49" s="297"/>
      <c r="J49" s="297"/>
      <c r="K49" s="297"/>
      <c r="L49" s="297"/>
      <c r="M49" s="309"/>
      <c r="N49" s="309"/>
      <c r="O49" s="297"/>
      <c r="P49" s="297"/>
      <c r="Q49" s="312"/>
      <c r="R49" s="312"/>
      <c r="S49" s="297"/>
      <c r="T49" s="297"/>
      <c r="U49" s="297"/>
      <c r="V49" s="297"/>
      <c r="W49" s="297"/>
      <c r="X49" s="297"/>
      <c r="Y49" s="297"/>
      <c r="Z49" s="297"/>
      <c r="AA49" s="316"/>
      <c r="AB49" s="316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318"/>
      <c r="AN49" s="318"/>
      <c r="AO49" s="287"/>
      <c r="AP49" s="287"/>
      <c r="AQ49" s="297"/>
      <c r="AR49" s="297"/>
      <c r="AS49" s="316"/>
      <c r="AT49" s="316"/>
      <c r="AU49" s="297"/>
      <c r="AV49" s="297"/>
      <c r="AW49" s="306"/>
      <c r="AX49" s="297"/>
    </row>
    <row r="50" spans="1:50" x14ac:dyDescent="0.3">
      <c r="A50" s="248" t="s">
        <v>212</v>
      </c>
      <c r="B50" s="304"/>
      <c r="C50" s="295"/>
      <c r="D50" s="532"/>
      <c r="E50" s="297"/>
      <c r="F50" s="297"/>
      <c r="G50" s="306"/>
      <c r="H50" s="297"/>
      <c r="I50" s="297"/>
      <c r="J50" s="297"/>
      <c r="K50" s="297"/>
      <c r="L50" s="297"/>
      <c r="M50" s="309"/>
      <c r="N50" s="309"/>
      <c r="O50" s="297"/>
      <c r="P50" s="297"/>
      <c r="Q50" s="312"/>
      <c r="R50" s="312"/>
      <c r="S50" s="297"/>
      <c r="T50" s="297"/>
      <c r="U50" s="297"/>
      <c r="V50" s="297"/>
      <c r="W50" s="297"/>
      <c r="X50" s="297"/>
      <c r="Y50" s="297"/>
      <c r="Z50" s="297"/>
      <c r="AA50" s="316"/>
      <c r="AB50" s="316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318"/>
      <c r="AN50" s="318"/>
      <c r="AO50" s="319"/>
      <c r="AP50" s="319">
        <v>36893</v>
      </c>
      <c r="AQ50" s="297"/>
      <c r="AR50" s="297">
        <v>-453</v>
      </c>
      <c r="AS50" s="316"/>
      <c r="AT50" s="316"/>
      <c r="AU50" s="297"/>
      <c r="AV50" s="297"/>
      <c r="AW50" s="306"/>
      <c r="AX50" s="297"/>
    </row>
    <row r="51" spans="1:50" ht="17.25" x14ac:dyDescent="0.35">
      <c r="A51" s="299" t="s">
        <v>133</v>
      </c>
      <c r="B51" s="304"/>
      <c r="C51" s="296"/>
      <c r="D51" s="533"/>
      <c r="E51" s="298"/>
      <c r="F51" s="298"/>
      <c r="G51" s="307"/>
      <c r="H51" s="298"/>
      <c r="I51" s="298"/>
      <c r="J51" s="298"/>
      <c r="K51" s="298"/>
      <c r="L51" s="298"/>
      <c r="M51" s="310"/>
      <c r="N51" s="310"/>
      <c r="O51" s="298"/>
      <c r="P51" s="298"/>
      <c r="Q51" s="313"/>
      <c r="R51" s="313"/>
      <c r="S51" s="298"/>
      <c r="T51" s="298"/>
      <c r="U51" s="298"/>
      <c r="V51" s="298"/>
      <c r="W51" s="298"/>
      <c r="X51" s="298"/>
      <c r="Y51" s="298"/>
      <c r="Z51" s="298"/>
      <c r="AA51" s="297"/>
      <c r="AB51" s="297"/>
      <c r="AC51" s="298"/>
      <c r="AD51" s="298"/>
      <c r="AE51" s="317"/>
      <c r="AF51" s="317"/>
      <c r="AG51" s="298"/>
      <c r="AH51" s="298"/>
      <c r="AI51" s="298"/>
      <c r="AJ51" s="298"/>
      <c r="AK51" s="298"/>
      <c r="AL51" s="298"/>
      <c r="AM51" s="318"/>
      <c r="AN51" s="318"/>
      <c r="AO51" s="287"/>
      <c r="AP51" s="287"/>
      <c r="AQ51" s="297"/>
      <c r="AR51" s="297"/>
      <c r="AS51" s="297"/>
      <c r="AT51" s="297"/>
      <c r="AU51" s="298"/>
      <c r="AV51" s="298"/>
      <c r="AW51" s="307"/>
      <c r="AX51" s="298"/>
    </row>
    <row r="52" spans="1:50" x14ac:dyDescent="0.3">
      <c r="A52" s="248" t="s">
        <v>213</v>
      </c>
      <c r="B52" s="304"/>
      <c r="C52" s="295">
        <v>11617</v>
      </c>
      <c r="D52" s="532">
        <v>14020</v>
      </c>
      <c r="E52" s="297">
        <v>852</v>
      </c>
      <c r="F52" s="297"/>
      <c r="G52" s="306"/>
      <c r="H52" s="297"/>
      <c r="I52" s="297">
        <v>33769</v>
      </c>
      <c r="J52" s="297">
        <v>10671</v>
      </c>
      <c r="K52" s="297">
        <v>-16021</v>
      </c>
      <c r="L52" s="297">
        <v>-20091</v>
      </c>
      <c r="M52" s="309">
        <v>7941</v>
      </c>
      <c r="N52" s="309">
        <v>9605</v>
      </c>
      <c r="O52" s="297">
        <v>6115</v>
      </c>
      <c r="P52" s="297">
        <v>1790</v>
      </c>
      <c r="Q52" s="314"/>
      <c r="R52" s="314"/>
      <c r="S52" s="297"/>
      <c r="T52" s="297"/>
      <c r="U52" s="297"/>
      <c r="V52" s="297"/>
      <c r="W52" s="297">
        <v>48087</v>
      </c>
      <c r="X52" s="297">
        <v>32683</v>
      </c>
      <c r="Y52" s="297">
        <v>78207</v>
      </c>
      <c r="Z52" s="297">
        <v>72946</v>
      </c>
      <c r="AA52" s="316"/>
      <c r="AB52" s="316"/>
      <c r="AC52" s="297">
        <v>3881</v>
      </c>
      <c r="AD52" s="297">
        <v>6075.97</v>
      </c>
      <c r="AE52" s="297">
        <v>42096</v>
      </c>
      <c r="AF52" s="297"/>
      <c r="AG52" s="297">
        <v>16202</v>
      </c>
      <c r="AH52" s="297">
        <v>14829</v>
      </c>
      <c r="AI52" s="297">
        <v>3936</v>
      </c>
      <c r="AJ52" s="297">
        <v>2818</v>
      </c>
      <c r="AK52" s="297"/>
      <c r="AL52" s="297"/>
      <c r="AM52" s="318"/>
      <c r="AN52" s="318"/>
      <c r="AO52" s="319">
        <v>29059</v>
      </c>
      <c r="AP52" s="319">
        <v>9303</v>
      </c>
      <c r="AQ52" s="297"/>
      <c r="AR52" s="297"/>
      <c r="AS52" s="316">
        <v>6173</v>
      </c>
      <c r="AT52" s="316">
        <v>10581</v>
      </c>
      <c r="AU52" s="297"/>
      <c r="AV52" s="297"/>
      <c r="AW52" s="306"/>
      <c r="AX52" s="297">
        <v>140786.76999999999</v>
      </c>
    </row>
    <row r="53" spans="1:50" x14ac:dyDescent="0.3">
      <c r="A53" s="248" t="s">
        <v>233</v>
      </c>
      <c r="B53" s="304"/>
      <c r="C53" s="295"/>
      <c r="D53" s="532"/>
      <c r="E53" s="297"/>
      <c r="F53" s="297">
        <v>-6400</v>
      </c>
      <c r="G53" s="306">
        <v>3605</v>
      </c>
      <c r="H53" s="297">
        <v>1816</v>
      </c>
      <c r="I53" s="297"/>
      <c r="J53" s="297"/>
      <c r="K53" s="297"/>
      <c r="L53" s="297"/>
      <c r="M53" s="309">
        <v>8224</v>
      </c>
      <c r="N53" s="309">
        <v>1727</v>
      </c>
      <c r="O53" s="297"/>
      <c r="P53" s="297"/>
      <c r="Q53" s="314">
        <v>120</v>
      </c>
      <c r="R53" s="314">
        <v>21</v>
      </c>
      <c r="S53" s="297"/>
      <c r="T53" s="297">
        <v>16747</v>
      </c>
      <c r="U53" s="297"/>
      <c r="V53" s="297"/>
      <c r="W53" s="297"/>
      <c r="X53" s="297"/>
      <c r="Y53" s="297"/>
      <c r="Z53" s="297"/>
      <c r="AA53" s="316">
        <v>-668</v>
      </c>
      <c r="AB53" s="316">
        <v>-2254</v>
      </c>
      <c r="AC53" s="297">
        <v>-1440</v>
      </c>
      <c r="AD53" s="297">
        <v>24.09</v>
      </c>
      <c r="AE53" s="297"/>
      <c r="AF53" s="297"/>
      <c r="AG53" s="297"/>
      <c r="AH53" s="297"/>
      <c r="AI53" s="297"/>
      <c r="AJ53" s="297"/>
      <c r="AK53" s="297"/>
      <c r="AL53" s="297">
        <v>1720</v>
      </c>
      <c r="AM53" s="318"/>
      <c r="AN53" s="318"/>
      <c r="AO53" s="319"/>
      <c r="AP53" s="319"/>
      <c r="AQ53" s="297"/>
      <c r="AR53" s="297"/>
      <c r="AS53" s="316"/>
      <c r="AT53" s="316"/>
      <c r="AU53" s="297">
        <v>53616</v>
      </c>
      <c r="AV53" s="297">
        <v>2871</v>
      </c>
      <c r="AW53" s="306"/>
      <c r="AX53" s="297"/>
    </row>
    <row r="54" spans="1:50" x14ac:dyDescent="0.3">
      <c r="A54" s="248" t="s">
        <v>214</v>
      </c>
      <c r="B54" s="304"/>
      <c r="C54" s="295"/>
      <c r="D54" s="532"/>
      <c r="E54" s="297"/>
      <c r="F54" s="297"/>
      <c r="G54" s="306"/>
      <c r="H54" s="297"/>
      <c r="I54" s="297"/>
      <c r="J54" s="297"/>
      <c r="K54" s="297"/>
      <c r="L54" s="297"/>
      <c r="M54" s="309"/>
      <c r="N54" s="309"/>
      <c r="O54" s="297"/>
      <c r="P54" s="297"/>
      <c r="Q54" s="314"/>
      <c r="R54" s="314"/>
      <c r="S54" s="297"/>
      <c r="T54" s="297"/>
      <c r="U54" s="297"/>
      <c r="V54" s="297"/>
      <c r="W54" s="297"/>
      <c r="X54" s="297"/>
      <c r="Y54" s="297"/>
      <c r="Z54" s="297"/>
      <c r="AA54" s="316"/>
      <c r="AB54" s="316"/>
      <c r="AC54" s="297"/>
      <c r="AD54" s="297"/>
      <c r="AE54" s="297"/>
      <c r="AF54" s="297"/>
      <c r="AG54" s="297"/>
      <c r="AH54" s="297"/>
      <c r="AI54" s="297">
        <v>248</v>
      </c>
      <c r="AJ54" s="297"/>
      <c r="AK54" s="297"/>
      <c r="AL54" s="297"/>
      <c r="AM54" s="318"/>
      <c r="AN54" s="318"/>
      <c r="AO54" s="287"/>
      <c r="AP54" s="287"/>
      <c r="AQ54" s="297"/>
      <c r="AR54" s="297"/>
      <c r="AS54" s="316"/>
      <c r="AT54" s="316"/>
      <c r="AU54" s="297"/>
      <c r="AV54" s="297"/>
      <c r="AW54" s="306"/>
      <c r="AX54" s="297"/>
    </row>
    <row r="55" spans="1:50" x14ac:dyDescent="0.3">
      <c r="A55" s="248" t="s">
        <v>215</v>
      </c>
      <c r="B55" s="304"/>
      <c r="C55" s="295"/>
      <c r="D55" s="532"/>
      <c r="E55" s="297">
        <v>2243</v>
      </c>
      <c r="F55" s="297">
        <v>2347</v>
      </c>
      <c r="G55" s="306">
        <v>6</v>
      </c>
      <c r="H55" s="297">
        <v>376</v>
      </c>
      <c r="I55" s="297">
        <v>782</v>
      </c>
      <c r="J55" s="297">
        <v>357</v>
      </c>
      <c r="K55" s="297">
        <v>1532</v>
      </c>
      <c r="L55" s="297">
        <v>2386</v>
      </c>
      <c r="M55" s="309">
        <v>4745</v>
      </c>
      <c r="N55" s="309">
        <v>785</v>
      </c>
      <c r="O55" s="297">
        <v>1091</v>
      </c>
      <c r="P55" s="297">
        <v>1106</v>
      </c>
      <c r="Q55" s="314">
        <v>91</v>
      </c>
      <c r="R55" s="314">
        <v>108</v>
      </c>
      <c r="S55" s="297"/>
      <c r="T55" s="297"/>
      <c r="U55" s="297">
        <v>2329</v>
      </c>
      <c r="V55" s="297"/>
      <c r="W55" s="297">
        <v>-1007</v>
      </c>
      <c r="X55" s="297">
        <v>-10375</v>
      </c>
      <c r="Y55" s="297">
        <v>13603</v>
      </c>
      <c r="Z55" s="297">
        <v>-9211</v>
      </c>
      <c r="AA55" s="316">
        <v>5307</v>
      </c>
      <c r="AB55" s="316">
        <v>3757</v>
      </c>
      <c r="AC55" s="297">
        <v>2128</v>
      </c>
      <c r="AD55" s="297">
        <v>4203.03</v>
      </c>
      <c r="AE55" s="297">
        <v>-1761</v>
      </c>
      <c r="AF55" s="297">
        <v>10457</v>
      </c>
      <c r="AG55" s="297">
        <v>22862</v>
      </c>
      <c r="AH55" s="297">
        <v>14934</v>
      </c>
      <c r="AI55" s="297">
        <v>4184</v>
      </c>
      <c r="AJ55" s="297">
        <v>14637</v>
      </c>
      <c r="AK55" s="297">
        <v>2105</v>
      </c>
      <c r="AL55" s="297">
        <v>1559</v>
      </c>
      <c r="AM55" s="318"/>
      <c r="AN55" s="318"/>
      <c r="AO55" s="319">
        <v>32657</v>
      </c>
      <c r="AP55" s="319">
        <v>27589</v>
      </c>
      <c r="AQ55" s="297">
        <v>5779.35</v>
      </c>
      <c r="AR55" s="297">
        <v>-453</v>
      </c>
      <c r="AS55" s="316">
        <v>854</v>
      </c>
      <c r="AT55" s="316">
        <v>3015</v>
      </c>
      <c r="AU55" s="297">
        <v>-5317</v>
      </c>
      <c r="AV55" s="297">
        <v>412</v>
      </c>
      <c r="AW55" s="306"/>
      <c r="AX55" s="297">
        <v>440309.25</v>
      </c>
    </row>
    <row r="56" spans="1:50" s="588" customFormat="1" ht="18" x14ac:dyDescent="0.35">
      <c r="A56" s="577" t="s">
        <v>246</v>
      </c>
      <c r="B56" s="578"/>
      <c r="C56" s="579">
        <f>C46</f>
        <v>11617</v>
      </c>
      <c r="D56" s="579">
        <v>14020</v>
      </c>
      <c r="E56" s="579">
        <v>3095</v>
      </c>
      <c r="F56" s="579">
        <v>-4053</v>
      </c>
      <c r="G56" s="579">
        <v>3611</v>
      </c>
      <c r="H56" s="579">
        <v>2192</v>
      </c>
      <c r="I56" s="579">
        <v>34551</v>
      </c>
      <c r="J56" s="579">
        <v>11028</v>
      </c>
      <c r="K56" s="579">
        <v>-14489</v>
      </c>
      <c r="L56" s="579">
        <v>-17705</v>
      </c>
      <c r="M56" s="579">
        <v>12969</v>
      </c>
      <c r="N56" s="579">
        <v>2512</v>
      </c>
      <c r="O56" s="579">
        <v>7206</v>
      </c>
      <c r="P56" s="579">
        <v>2896</v>
      </c>
      <c r="Q56" s="579">
        <v>211</v>
      </c>
      <c r="R56" s="579">
        <v>131</v>
      </c>
      <c r="S56" s="579"/>
      <c r="T56" s="579">
        <v>750</v>
      </c>
      <c r="U56" s="579">
        <v>2329</v>
      </c>
      <c r="V56" s="579"/>
      <c r="W56" s="579">
        <v>47080</v>
      </c>
      <c r="X56" s="579">
        <v>22308</v>
      </c>
      <c r="Y56" s="579">
        <v>91810</v>
      </c>
      <c r="Z56" s="579">
        <v>63735</v>
      </c>
      <c r="AA56" s="579">
        <v>4639</v>
      </c>
      <c r="AB56" s="579">
        <v>1503</v>
      </c>
      <c r="AC56" s="579">
        <v>4568</v>
      </c>
      <c r="AD56" s="579">
        <v>10303.09</v>
      </c>
      <c r="AE56" s="579">
        <v>40335</v>
      </c>
      <c r="AF56" s="579">
        <v>10457</v>
      </c>
      <c r="AG56" s="579">
        <v>39065</v>
      </c>
      <c r="AH56" s="579">
        <v>29763</v>
      </c>
      <c r="AI56" s="579">
        <f>AI46</f>
        <v>4184</v>
      </c>
      <c r="AJ56" s="579">
        <v>17455</v>
      </c>
      <c r="AK56" s="579">
        <f t="shared" ref="AK56:AN56" si="2">AK46</f>
        <v>4844</v>
      </c>
      <c r="AL56" s="579">
        <v>3278</v>
      </c>
      <c r="AM56" s="579">
        <f t="shared" si="2"/>
        <v>0</v>
      </c>
      <c r="AN56" s="579">
        <f t="shared" si="2"/>
        <v>0</v>
      </c>
      <c r="AO56" s="579">
        <v>-29188</v>
      </c>
      <c r="AP56" s="579">
        <v>36893</v>
      </c>
      <c r="AQ56" s="579">
        <f>AQ46</f>
        <v>5404</v>
      </c>
      <c r="AR56" s="579">
        <v>-453</v>
      </c>
      <c r="AS56" s="579">
        <v>7027</v>
      </c>
      <c r="AT56" s="579">
        <v>13596</v>
      </c>
      <c r="AU56" s="579">
        <f>AU46</f>
        <v>48300</v>
      </c>
      <c r="AV56" s="579">
        <v>3283</v>
      </c>
      <c r="AW56" s="579">
        <f>AW46</f>
        <v>0</v>
      </c>
      <c r="AX56" s="579">
        <v>140786.76999999999</v>
      </c>
    </row>
    <row r="57" spans="1:50" ht="17.25" x14ac:dyDescent="0.35">
      <c r="A57" s="248" t="s">
        <v>216</v>
      </c>
      <c r="B57" s="304"/>
      <c r="C57" s="296">
        <f>343+9</f>
        <v>352</v>
      </c>
      <c r="D57" s="533">
        <f>658+17</f>
        <v>675</v>
      </c>
      <c r="E57" s="298">
        <v>4</v>
      </c>
      <c r="F57" s="298">
        <v>10</v>
      </c>
      <c r="G57" s="307">
        <v>69</v>
      </c>
      <c r="H57" s="298">
        <v>82</v>
      </c>
      <c r="I57" s="298">
        <v>12008</v>
      </c>
      <c r="J57" s="298">
        <v>8554</v>
      </c>
      <c r="K57" s="298"/>
      <c r="L57" s="298"/>
      <c r="M57" s="310">
        <v>601</v>
      </c>
      <c r="N57" s="310">
        <v>250</v>
      </c>
      <c r="O57" s="298">
        <v>1</v>
      </c>
      <c r="P57" s="298">
        <v>2</v>
      </c>
      <c r="Q57" s="78">
        <v>3</v>
      </c>
      <c r="R57" s="78">
        <v>1</v>
      </c>
      <c r="S57" s="298"/>
      <c r="T57" s="298"/>
      <c r="U57" s="298">
        <f>58+137</f>
        <v>195</v>
      </c>
      <c r="V57" s="298">
        <f>52+73</f>
        <v>125</v>
      </c>
      <c r="W57" s="298">
        <f>47859+31008</f>
        <v>78867</v>
      </c>
      <c r="X57" s="298">
        <f>24423+41720</f>
        <v>66143</v>
      </c>
      <c r="Y57" s="298"/>
      <c r="Z57" s="298"/>
      <c r="AA57" s="315">
        <v>31</v>
      </c>
      <c r="AB57" s="315">
        <v>27</v>
      </c>
      <c r="AC57" s="298"/>
      <c r="AD57" s="298"/>
      <c r="AE57" s="317">
        <v>3213</v>
      </c>
      <c r="AF57" s="317">
        <v>2304</v>
      </c>
      <c r="AG57" s="298">
        <v>135</v>
      </c>
      <c r="AH57" s="298">
        <v>243</v>
      </c>
      <c r="AI57" s="298">
        <v>162</v>
      </c>
      <c r="AJ57" s="298">
        <v>250</v>
      </c>
      <c r="AK57" s="298">
        <v>23</v>
      </c>
      <c r="AL57" s="298"/>
      <c r="AM57" s="318"/>
      <c r="AN57" s="318"/>
      <c r="AO57" s="319"/>
      <c r="AP57" s="319">
        <v>4296</v>
      </c>
      <c r="AQ57" s="297">
        <v>21.93</v>
      </c>
      <c r="AR57" s="297">
        <v>18</v>
      </c>
      <c r="AS57" s="297"/>
      <c r="AT57" s="297">
        <v>1</v>
      </c>
      <c r="AU57" s="298"/>
      <c r="AV57" s="298"/>
      <c r="AW57" s="307"/>
      <c r="AX57" s="298"/>
    </row>
    <row r="58" spans="1:50" x14ac:dyDescent="0.3">
      <c r="A58" s="248" t="s">
        <v>217</v>
      </c>
      <c r="B58" s="304"/>
      <c r="C58" s="295"/>
      <c r="D58" s="532"/>
      <c r="E58" s="297"/>
      <c r="F58" s="297"/>
      <c r="G58" s="306"/>
      <c r="H58" s="297"/>
      <c r="I58" s="297"/>
      <c r="J58" s="297"/>
      <c r="K58" s="297"/>
      <c r="L58" s="297"/>
      <c r="M58" s="309"/>
      <c r="N58" s="309"/>
      <c r="O58" s="297"/>
      <c r="P58" s="297"/>
      <c r="Q58" s="314"/>
      <c r="R58" s="314"/>
      <c r="S58" s="297"/>
      <c r="T58" s="297"/>
      <c r="U58" s="297"/>
      <c r="V58" s="297"/>
      <c r="W58" s="297"/>
      <c r="X58" s="297"/>
      <c r="Y58" s="297"/>
      <c r="Z58" s="297"/>
      <c r="AA58" s="316"/>
      <c r="AB58" s="316"/>
      <c r="AC58" s="297"/>
      <c r="AD58" s="297"/>
      <c r="AE58" s="297"/>
      <c r="AF58" s="297"/>
      <c r="AG58" s="297">
        <v>142451</v>
      </c>
      <c r="AH58" s="297">
        <v>131087</v>
      </c>
      <c r="AI58" s="297"/>
      <c r="AJ58" s="297"/>
      <c r="AK58" s="297"/>
      <c r="AL58" s="297"/>
      <c r="AM58" s="318"/>
      <c r="AN58" s="318"/>
      <c r="AO58" s="287"/>
      <c r="AP58" s="287"/>
      <c r="AQ58" s="297"/>
      <c r="AR58" s="297">
        <v>10065</v>
      </c>
      <c r="AS58" s="316"/>
      <c r="AT58" s="316"/>
      <c r="AU58" s="297"/>
      <c r="AV58" s="297"/>
      <c r="AW58" s="306"/>
      <c r="AX58" s="297"/>
    </row>
    <row r="59" spans="1:50" ht="17.25" thickBot="1" x14ac:dyDescent="0.35">
      <c r="A59" s="453" t="s">
        <v>218</v>
      </c>
      <c r="B59" s="454"/>
      <c r="C59" s="455">
        <v>11617</v>
      </c>
      <c r="D59" s="534">
        <v>14020</v>
      </c>
      <c r="E59" s="456">
        <v>3095</v>
      </c>
      <c r="F59" s="456">
        <v>-4053</v>
      </c>
      <c r="G59" s="457">
        <v>3611</v>
      </c>
      <c r="H59" s="456">
        <v>2192</v>
      </c>
      <c r="I59" s="456">
        <v>34551</v>
      </c>
      <c r="J59" s="456">
        <v>11028</v>
      </c>
      <c r="K59" s="456">
        <v>-14489</v>
      </c>
      <c r="L59" s="456">
        <v>-17705</v>
      </c>
      <c r="M59" s="458">
        <v>12968</v>
      </c>
      <c r="N59" s="458">
        <v>2512</v>
      </c>
      <c r="O59" s="456">
        <v>7206</v>
      </c>
      <c r="P59" s="456">
        <v>2896</v>
      </c>
      <c r="Q59" s="459">
        <v>211</v>
      </c>
      <c r="R59" s="459">
        <v>129</v>
      </c>
      <c r="S59" s="456"/>
      <c r="T59" s="456"/>
      <c r="U59" s="456">
        <v>2329</v>
      </c>
      <c r="V59" s="456"/>
      <c r="W59" s="456">
        <v>47080</v>
      </c>
      <c r="X59" s="456">
        <v>22308</v>
      </c>
      <c r="Y59" s="456"/>
      <c r="Z59" s="456"/>
      <c r="AA59" s="460">
        <v>4639</v>
      </c>
      <c r="AB59" s="460">
        <v>1503</v>
      </c>
      <c r="AC59" s="456">
        <v>4568</v>
      </c>
      <c r="AD59" s="456">
        <v>10303.1</v>
      </c>
      <c r="AE59" s="456">
        <v>-1761</v>
      </c>
      <c r="AF59" s="456">
        <v>10457</v>
      </c>
      <c r="AG59" s="456">
        <v>52347</v>
      </c>
      <c r="AH59" s="456">
        <v>29763</v>
      </c>
      <c r="AI59" s="456">
        <v>4184</v>
      </c>
      <c r="AJ59" s="456">
        <v>17455</v>
      </c>
      <c r="AK59" s="456">
        <v>4844</v>
      </c>
      <c r="AL59" s="456"/>
      <c r="AM59" s="461"/>
      <c r="AN59" s="461"/>
      <c r="AO59" s="462">
        <v>-29188</v>
      </c>
      <c r="AP59" s="462">
        <v>27589</v>
      </c>
      <c r="AQ59" s="456">
        <v>5779.34</v>
      </c>
      <c r="AR59" s="456">
        <v>-453</v>
      </c>
      <c r="AS59" s="460">
        <v>4973</v>
      </c>
      <c r="AT59" s="460">
        <v>-7663</v>
      </c>
      <c r="AU59" s="456">
        <v>48300</v>
      </c>
      <c r="AV59" s="456">
        <v>3283</v>
      </c>
      <c r="AW59" s="457"/>
      <c r="AX59" s="456"/>
    </row>
    <row r="60" spans="1:50" s="588" customFormat="1" ht="18.75" thickBot="1" x14ac:dyDescent="0.4">
      <c r="A60" s="589" t="s">
        <v>219</v>
      </c>
      <c r="B60" s="590"/>
      <c r="C60" s="591">
        <v>11969</v>
      </c>
      <c r="D60" s="592">
        <v>14695</v>
      </c>
      <c r="E60" s="593">
        <v>3099</v>
      </c>
      <c r="F60" s="593">
        <v>-4043</v>
      </c>
      <c r="G60" s="594">
        <v>3680</v>
      </c>
      <c r="H60" s="593">
        <v>2274</v>
      </c>
      <c r="I60" s="593">
        <v>46559</v>
      </c>
      <c r="J60" s="593">
        <v>19582</v>
      </c>
      <c r="K60" s="593">
        <v>-14489</v>
      </c>
      <c r="L60" s="593">
        <v>-17705</v>
      </c>
      <c r="M60" s="595">
        <v>13569</v>
      </c>
      <c r="N60" s="595">
        <v>2762</v>
      </c>
      <c r="O60" s="593">
        <v>7207</v>
      </c>
      <c r="P60" s="593">
        <v>2898</v>
      </c>
      <c r="Q60" s="596">
        <v>214</v>
      </c>
      <c r="R60" s="596">
        <v>130</v>
      </c>
      <c r="S60" s="593"/>
      <c r="T60" s="593"/>
      <c r="U60" s="593">
        <v>2524</v>
      </c>
      <c r="V60" s="593">
        <v>125</v>
      </c>
      <c r="W60" s="593">
        <v>125947</v>
      </c>
      <c r="X60" s="593">
        <v>88451</v>
      </c>
      <c r="Y60" s="593"/>
      <c r="Z60" s="593"/>
      <c r="AA60" s="597">
        <v>4670</v>
      </c>
      <c r="AB60" s="597">
        <v>1530</v>
      </c>
      <c r="AC60" s="593">
        <v>4568</v>
      </c>
      <c r="AD60" s="593">
        <v>10303.1</v>
      </c>
      <c r="AE60" s="593">
        <v>1452</v>
      </c>
      <c r="AF60" s="593">
        <v>12761</v>
      </c>
      <c r="AG60" s="593">
        <v>194933</v>
      </c>
      <c r="AH60" s="593">
        <v>161093</v>
      </c>
      <c r="AI60" s="593">
        <v>4346</v>
      </c>
      <c r="AJ60" s="593">
        <v>17705</v>
      </c>
      <c r="AK60" s="593">
        <v>4867</v>
      </c>
      <c r="AL60" s="593"/>
      <c r="AM60" s="598"/>
      <c r="AN60" s="598"/>
      <c r="AO60" s="599">
        <v>-29188</v>
      </c>
      <c r="AP60" s="599">
        <v>41188</v>
      </c>
      <c r="AQ60" s="593">
        <v>5801</v>
      </c>
      <c r="AR60" s="593">
        <v>9630</v>
      </c>
      <c r="AS60" s="597">
        <v>4973</v>
      </c>
      <c r="AT60" s="597">
        <v>-7662</v>
      </c>
      <c r="AU60" s="593">
        <f>AU59</f>
        <v>48300</v>
      </c>
      <c r="AV60" s="593">
        <v>3283</v>
      </c>
      <c r="AW60" s="594"/>
      <c r="AX60" s="593"/>
    </row>
  </sheetData>
  <mergeCells count="26">
    <mergeCell ref="A1:AX1"/>
    <mergeCell ref="A2:A3"/>
    <mergeCell ref="C2:D2"/>
    <mergeCell ref="E2:F2"/>
    <mergeCell ref="G2:H2"/>
    <mergeCell ref="I2:J2"/>
    <mergeCell ref="K2:L2"/>
    <mergeCell ref="M2:N2"/>
    <mergeCell ref="O2:P2"/>
    <mergeCell ref="Q2:R2"/>
    <mergeCell ref="Y2:Z2"/>
    <mergeCell ref="W2:X2"/>
    <mergeCell ref="U2:V2"/>
    <mergeCell ref="S2:T2"/>
    <mergeCell ref="AG2:AH2"/>
    <mergeCell ref="AE2:AF2"/>
    <mergeCell ref="AC2:AD2"/>
    <mergeCell ref="AA2:AB2"/>
    <mergeCell ref="AU2:AV2"/>
    <mergeCell ref="AW2:AX2"/>
    <mergeCell ref="AI2:AJ2"/>
    <mergeCell ref="AK2:AL2"/>
    <mergeCell ref="AM2:AN2"/>
    <mergeCell ref="AO2:AP2"/>
    <mergeCell ref="AQ2:AR2"/>
    <mergeCell ref="AS2:AT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BA42"/>
  <sheetViews>
    <sheetView workbookViewId="0">
      <pane xSplit="1" topLeftCell="B1" activePane="topRight" state="frozen"/>
      <selection pane="topRight" activeCell="D2" sqref="D2"/>
    </sheetView>
  </sheetViews>
  <sheetFormatPr defaultRowHeight="12.75" x14ac:dyDescent="0.25"/>
  <cols>
    <col min="1" max="1" width="40" style="851" bestFit="1" customWidth="1"/>
    <col min="2" max="3" width="14.140625" style="65" customWidth="1"/>
    <col min="4" max="4" width="14" style="65" customWidth="1"/>
    <col min="5" max="5" width="14.28515625" style="65" customWidth="1"/>
    <col min="6" max="7" width="16.140625" style="65" customWidth="1"/>
    <col min="8" max="9" width="15.85546875" style="65" customWidth="1"/>
    <col min="10" max="11" width="14.42578125" style="65" customWidth="1"/>
    <col min="12" max="12" width="16" style="65" customWidth="1"/>
    <col min="13" max="13" width="15.28515625" style="65" customWidth="1"/>
    <col min="14" max="15" width="16" style="65" customWidth="1"/>
    <col min="16" max="16" width="12" style="65" customWidth="1"/>
    <col min="17" max="17" width="12.42578125" style="65" customWidth="1"/>
    <col min="18" max="18" width="13.28515625" style="65" customWidth="1"/>
    <col min="19" max="19" width="13.7109375" style="65" customWidth="1"/>
    <col min="20" max="20" width="13.140625" style="65" customWidth="1"/>
    <col min="21" max="21" width="15.28515625" style="65" customWidth="1"/>
    <col min="22" max="23" width="16.42578125" style="65" customWidth="1"/>
    <col min="24" max="24" width="15.140625" style="65" customWidth="1"/>
    <col min="25" max="25" width="18.140625" style="65" customWidth="1"/>
    <col min="26" max="26" width="10" style="65" customWidth="1"/>
    <col min="27" max="27" width="12.7109375" style="65" customWidth="1"/>
    <col min="28" max="28" width="11.85546875" style="65" customWidth="1"/>
    <col min="29" max="29" width="11.140625" style="65" customWidth="1"/>
    <col min="30" max="31" width="14.5703125" style="65" customWidth="1"/>
    <col min="32" max="33" width="13.85546875" style="65" customWidth="1"/>
    <col min="34" max="34" width="10.28515625" style="65" customWidth="1"/>
    <col min="35" max="35" width="16.42578125" style="65" customWidth="1"/>
    <col min="36" max="36" width="9.85546875" style="65" customWidth="1"/>
    <col min="37" max="37" width="10.28515625" style="65" customWidth="1"/>
    <col min="38" max="39" width="15.7109375" style="851" customWidth="1"/>
    <col min="40" max="40" width="12" style="65" customWidth="1"/>
    <col min="41" max="41" width="10.85546875" style="65" customWidth="1"/>
    <col min="42" max="42" width="10" style="65" customWidth="1"/>
    <col min="43" max="43" width="13.7109375" style="65" customWidth="1"/>
    <col min="44" max="44" width="11.7109375" style="65" customWidth="1"/>
    <col min="45" max="45" width="13" style="65" customWidth="1"/>
    <col min="46" max="46" width="10.140625" style="65" customWidth="1"/>
    <col min="47" max="47" width="11.140625" style="65" customWidth="1"/>
    <col min="48" max="49" width="13.85546875" style="65" customWidth="1"/>
    <col min="50" max="50" width="14" style="65" customWidth="1"/>
    <col min="51" max="51" width="14.28515625" style="65" customWidth="1"/>
    <col min="52" max="52" width="15.42578125" style="851" customWidth="1"/>
    <col min="53" max="53" width="15.7109375" style="851" customWidth="1"/>
    <col min="54" max="16384" width="9.140625" style="851"/>
  </cols>
  <sheetData>
    <row r="1" spans="1:53" ht="57.75" customHeight="1" thickBot="1" x14ac:dyDescent="0.4">
      <c r="A1" s="856" t="s">
        <v>363</v>
      </c>
      <c r="B1" s="1026" t="s">
        <v>149</v>
      </c>
      <c r="C1" s="1027"/>
      <c r="D1" s="1021" t="s">
        <v>150</v>
      </c>
      <c r="E1" s="1022"/>
      <c r="F1" s="1021" t="s">
        <v>151</v>
      </c>
      <c r="G1" s="1022"/>
      <c r="H1" s="1021" t="s">
        <v>152</v>
      </c>
      <c r="I1" s="1022"/>
      <c r="J1" s="1021" t="s">
        <v>153</v>
      </c>
      <c r="K1" s="1022"/>
      <c r="L1" s="1021" t="s">
        <v>154</v>
      </c>
      <c r="M1" s="1022"/>
      <c r="N1" s="1021" t="s">
        <v>253</v>
      </c>
      <c r="O1" s="1022"/>
      <c r="P1" s="1021" t="s">
        <v>155</v>
      </c>
      <c r="Q1" s="1022"/>
      <c r="R1" s="1021" t="s">
        <v>156</v>
      </c>
      <c r="S1" s="1022"/>
      <c r="T1" s="1021" t="s">
        <v>157</v>
      </c>
      <c r="U1" s="1022"/>
      <c r="V1" s="1021" t="s">
        <v>158</v>
      </c>
      <c r="W1" s="1022"/>
      <c r="X1" s="1021" t="s">
        <v>159</v>
      </c>
      <c r="Y1" s="1022"/>
      <c r="Z1" s="1021" t="s">
        <v>359</v>
      </c>
      <c r="AA1" s="1022"/>
      <c r="AB1" s="1021" t="s">
        <v>160</v>
      </c>
      <c r="AC1" s="1022"/>
      <c r="AD1" s="1021" t="s">
        <v>161</v>
      </c>
      <c r="AE1" s="1022"/>
      <c r="AF1" s="1021" t="s">
        <v>162</v>
      </c>
      <c r="AG1" s="1022"/>
      <c r="AH1" s="1021" t="s">
        <v>163</v>
      </c>
      <c r="AI1" s="1022"/>
      <c r="AJ1" s="1021" t="s">
        <v>164</v>
      </c>
      <c r="AK1" s="1061"/>
      <c r="AL1" s="1021" t="s">
        <v>165</v>
      </c>
      <c r="AM1" s="1022"/>
      <c r="AN1" s="1061" t="s">
        <v>166</v>
      </c>
      <c r="AO1" s="1061"/>
      <c r="AP1" s="1021" t="s">
        <v>167</v>
      </c>
      <c r="AQ1" s="1022"/>
      <c r="AR1" s="1021" t="s">
        <v>168</v>
      </c>
      <c r="AS1" s="1061"/>
      <c r="AT1" s="1090" t="s">
        <v>169</v>
      </c>
      <c r="AU1" s="1091"/>
      <c r="AV1" s="1095" t="s">
        <v>1</v>
      </c>
      <c r="AW1" s="1096"/>
      <c r="AX1" s="1021" t="s">
        <v>170</v>
      </c>
      <c r="AY1" s="1022"/>
      <c r="AZ1" s="1095" t="s">
        <v>2</v>
      </c>
      <c r="BA1" s="1096"/>
    </row>
    <row r="2" spans="1:53" s="902" customFormat="1" ht="27.75" customHeight="1" thickBot="1" x14ac:dyDescent="0.3">
      <c r="A2" s="901" t="s">
        <v>0</v>
      </c>
      <c r="B2" s="903" t="s">
        <v>372</v>
      </c>
      <c r="C2" s="903" t="s">
        <v>355</v>
      </c>
      <c r="D2" s="903" t="s">
        <v>372</v>
      </c>
      <c r="E2" s="903" t="s">
        <v>355</v>
      </c>
      <c r="F2" s="903" t="s">
        <v>372</v>
      </c>
      <c r="G2" s="903" t="s">
        <v>355</v>
      </c>
      <c r="H2" s="903" t="s">
        <v>372</v>
      </c>
      <c r="I2" s="903" t="s">
        <v>355</v>
      </c>
      <c r="J2" s="903" t="s">
        <v>372</v>
      </c>
      <c r="K2" s="903" t="s">
        <v>355</v>
      </c>
      <c r="L2" s="903" t="s">
        <v>372</v>
      </c>
      <c r="M2" s="903" t="s">
        <v>355</v>
      </c>
      <c r="N2" s="903" t="s">
        <v>372</v>
      </c>
      <c r="O2" s="903" t="s">
        <v>355</v>
      </c>
      <c r="P2" s="903" t="s">
        <v>372</v>
      </c>
      <c r="Q2" s="903" t="s">
        <v>355</v>
      </c>
      <c r="R2" s="903" t="s">
        <v>372</v>
      </c>
      <c r="S2" s="903" t="s">
        <v>355</v>
      </c>
      <c r="T2" s="903" t="s">
        <v>372</v>
      </c>
      <c r="U2" s="903" t="s">
        <v>355</v>
      </c>
      <c r="V2" s="903" t="s">
        <v>372</v>
      </c>
      <c r="W2" s="903" t="s">
        <v>355</v>
      </c>
      <c r="X2" s="903" t="s">
        <v>372</v>
      </c>
      <c r="Y2" s="903" t="s">
        <v>355</v>
      </c>
      <c r="Z2" s="903" t="s">
        <v>372</v>
      </c>
      <c r="AA2" s="903" t="s">
        <v>355</v>
      </c>
      <c r="AB2" s="903" t="s">
        <v>372</v>
      </c>
      <c r="AC2" s="903" t="s">
        <v>355</v>
      </c>
      <c r="AD2" s="903" t="s">
        <v>372</v>
      </c>
      <c r="AE2" s="903" t="s">
        <v>355</v>
      </c>
      <c r="AF2" s="903" t="s">
        <v>372</v>
      </c>
      <c r="AG2" s="903" t="s">
        <v>355</v>
      </c>
      <c r="AH2" s="903" t="s">
        <v>372</v>
      </c>
      <c r="AI2" s="903" t="s">
        <v>355</v>
      </c>
      <c r="AJ2" s="903" t="s">
        <v>372</v>
      </c>
      <c r="AK2" s="903" t="s">
        <v>355</v>
      </c>
      <c r="AL2" s="903" t="s">
        <v>372</v>
      </c>
      <c r="AM2" s="903" t="s">
        <v>355</v>
      </c>
      <c r="AN2" s="903" t="s">
        <v>372</v>
      </c>
      <c r="AO2" s="903" t="s">
        <v>355</v>
      </c>
      <c r="AP2" s="903" t="s">
        <v>372</v>
      </c>
      <c r="AQ2" s="903" t="s">
        <v>355</v>
      </c>
      <c r="AR2" s="903" t="s">
        <v>372</v>
      </c>
      <c r="AS2" s="998" t="s">
        <v>355</v>
      </c>
      <c r="AT2" s="1004" t="s">
        <v>372</v>
      </c>
      <c r="AU2" s="904" t="s">
        <v>355</v>
      </c>
      <c r="AV2" s="903" t="s">
        <v>372</v>
      </c>
      <c r="AW2" s="903" t="s">
        <v>355</v>
      </c>
      <c r="AX2" s="903" t="s">
        <v>372</v>
      </c>
      <c r="AY2" s="903" t="s">
        <v>355</v>
      </c>
      <c r="AZ2" s="904" t="s">
        <v>372</v>
      </c>
      <c r="BA2" s="903" t="s">
        <v>355</v>
      </c>
    </row>
    <row r="3" spans="1:53" ht="14.25" x14ac:dyDescent="0.3">
      <c r="A3" s="831" t="s">
        <v>321</v>
      </c>
      <c r="B3" s="857"/>
      <c r="C3" s="857"/>
      <c r="D3" s="857"/>
      <c r="E3" s="857"/>
      <c r="F3" s="857"/>
      <c r="G3" s="857"/>
      <c r="H3" s="857"/>
      <c r="I3" s="857"/>
      <c r="J3" s="857"/>
      <c r="K3" s="857"/>
      <c r="L3" s="857"/>
      <c r="M3" s="857"/>
      <c r="N3" s="857"/>
      <c r="O3" s="857"/>
      <c r="P3" s="857"/>
      <c r="Q3" s="857"/>
      <c r="R3" s="857"/>
      <c r="S3" s="857"/>
      <c r="T3" s="857"/>
      <c r="U3" s="857"/>
      <c r="V3" s="857"/>
      <c r="W3" s="857"/>
      <c r="X3" s="857"/>
      <c r="Y3" s="857"/>
      <c r="Z3" s="857"/>
      <c r="AA3" s="857"/>
      <c r="AB3" s="857"/>
      <c r="AC3" s="857"/>
      <c r="AD3" s="857"/>
      <c r="AE3" s="857"/>
      <c r="AF3" s="857"/>
      <c r="AG3" s="857"/>
      <c r="AH3" s="857"/>
      <c r="AI3" s="857"/>
      <c r="AJ3" s="857"/>
      <c r="AK3" s="858"/>
      <c r="AL3" s="943"/>
      <c r="AM3" s="944"/>
      <c r="AN3" s="939"/>
      <c r="AO3" s="885"/>
      <c r="AP3" s="859"/>
      <c r="AQ3" s="857"/>
      <c r="AR3" s="857"/>
      <c r="AS3" s="858"/>
      <c r="AT3" s="893"/>
      <c r="AU3" s="1002"/>
      <c r="AV3" s="857"/>
      <c r="AW3" s="857"/>
      <c r="AX3" s="857"/>
      <c r="AY3" s="857"/>
      <c r="AZ3" s="898"/>
      <c r="BA3" s="899"/>
    </row>
    <row r="4" spans="1:53" ht="13.5" x14ac:dyDescent="0.3">
      <c r="A4" s="860" t="s">
        <v>322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  <c r="M4" s="861"/>
      <c r="N4" s="861"/>
      <c r="O4" s="861"/>
      <c r="P4" s="861"/>
      <c r="Q4" s="861"/>
      <c r="R4" s="861"/>
      <c r="S4" s="861"/>
      <c r="T4" s="861"/>
      <c r="U4" s="861"/>
      <c r="V4" s="861"/>
      <c r="W4" s="861"/>
      <c r="X4" s="861"/>
      <c r="Y4" s="861"/>
      <c r="Z4" s="861"/>
      <c r="AA4" s="861"/>
      <c r="AB4" s="861"/>
      <c r="AC4" s="861"/>
      <c r="AD4" s="861"/>
      <c r="AE4" s="861"/>
      <c r="AF4" s="861"/>
      <c r="AG4" s="861"/>
      <c r="AH4" s="861"/>
      <c r="AI4" s="861"/>
      <c r="AJ4" s="861"/>
      <c r="AK4" s="862"/>
      <c r="AL4" s="945"/>
      <c r="AM4" s="946"/>
      <c r="AN4" s="940"/>
      <c r="AO4" s="886"/>
      <c r="AP4" s="247"/>
      <c r="AQ4" s="861"/>
      <c r="AR4" s="861"/>
      <c r="AS4" s="862"/>
      <c r="AT4" s="894"/>
      <c r="AU4" s="247"/>
      <c r="AV4" s="861"/>
      <c r="AW4" s="861"/>
      <c r="AX4" s="861"/>
      <c r="AY4" s="861"/>
      <c r="AZ4" s="900"/>
      <c r="BA4" s="899"/>
    </row>
    <row r="5" spans="1:53" x14ac:dyDescent="0.25">
      <c r="A5" s="62" t="s">
        <v>323</v>
      </c>
      <c r="B5" s="861"/>
      <c r="C5" s="861"/>
      <c r="D5" s="861"/>
      <c r="E5" s="861"/>
      <c r="F5" s="861"/>
      <c r="G5" s="861"/>
      <c r="H5" s="861"/>
      <c r="I5" s="861"/>
      <c r="J5" s="861"/>
      <c r="K5" s="861"/>
      <c r="L5" s="861"/>
      <c r="M5" s="861"/>
      <c r="N5" s="861"/>
      <c r="O5" s="861"/>
      <c r="P5" s="861"/>
      <c r="Q5" s="861"/>
      <c r="R5" s="861"/>
      <c r="S5" s="861"/>
      <c r="T5" s="861"/>
      <c r="U5" s="861"/>
      <c r="V5" s="861"/>
      <c r="W5" s="861"/>
      <c r="X5" s="861"/>
      <c r="Y5" s="861"/>
      <c r="Z5" s="861"/>
      <c r="AA5" s="861"/>
      <c r="AB5" s="861"/>
      <c r="AC5" s="861"/>
      <c r="AD5" s="861"/>
      <c r="AE5" s="861"/>
      <c r="AF5" s="861"/>
      <c r="AG5" s="861"/>
      <c r="AH5" s="861"/>
      <c r="AI5" s="861"/>
      <c r="AJ5" s="861"/>
      <c r="AK5" s="862"/>
      <c r="AL5" s="945"/>
      <c r="AM5" s="946"/>
      <c r="AN5" s="940"/>
      <c r="AO5" s="886"/>
      <c r="AP5" s="247"/>
      <c r="AQ5" s="861"/>
      <c r="AR5" s="861"/>
      <c r="AS5" s="862"/>
      <c r="AT5" s="894"/>
      <c r="AU5" s="247"/>
      <c r="AV5" s="861"/>
      <c r="AW5" s="861"/>
      <c r="AX5" s="861"/>
      <c r="AY5" s="861"/>
      <c r="AZ5" s="900"/>
      <c r="BA5" s="899"/>
    </row>
    <row r="6" spans="1:53" x14ac:dyDescent="0.25">
      <c r="A6" s="62" t="s">
        <v>324</v>
      </c>
      <c r="B6" s="861"/>
      <c r="C6" s="861"/>
      <c r="D6" s="861"/>
      <c r="E6" s="861"/>
      <c r="F6" s="861"/>
      <c r="G6" s="861"/>
      <c r="H6" s="861"/>
      <c r="I6" s="861"/>
      <c r="J6" s="861"/>
      <c r="K6" s="861"/>
      <c r="L6" s="861"/>
      <c r="M6" s="861"/>
      <c r="N6" s="861"/>
      <c r="O6" s="861"/>
      <c r="P6" s="861"/>
      <c r="Q6" s="861"/>
      <c r="R6" s="861"/>
      <c r="S6" s="861"/>
      <c r="T6" s="861"/>
      <c r="U6" s="861"/>
      <c r="V6" s="861"/>
      <c r="W6" s="861"/>
      <c r="X6" s="861"/>
      <c r="Y6" s="861"/>
      <c r="Z6" s="861"/>
      <c r="AA6" s="861"/>
      <c r="AB6" s="861"/>
      <c r="AC6" s="861"/>
      <c r="AD6" s="861"/>
      <c r="AE6" s="861"/>
      <c r="AF6" s="861"/>
      <c r="AG6" s="861"/>
      <c r="AH6" s="861"/>
      <c r="AI6" s="861"/>
      <c r="AJ6" s="861"/>
      <c r="AK6" s="862"/>
      <c r="AL6" s="945"/>
      <c r="AM6" s="946"/>
      <c r="AN6" s="940"/>
      <c r="AO6" s="886"/>
      <c r="AP6" s="247"/>
      <c r="AQ6" s="861"/>
      <c r="AR6" s="861"/>
      <c r="AS6" s="862"/>
      <c r="AT6" s="894"/>
      <c r="AU6" s="247"/>
      <c r="AV6" s="861">
        <f t="shared" ref="AV6:AW42" si="0">SUM(B6:AT6)</f>
        <v>0</v>
      </c>
      <c r="AW6" s="247">
        <f t="shared" si="0"/>
        <v>0</v>
      </c>
      <c r="AX6" s="861"/>
      <c r="AY6" s="861"/>
      <c r="AZ6" s="894">
        <f>AV6+AX6</f>
        <v>0</v>
      </c>
      <c r="BA6" s="247">
        <f>AW6+AY6</f>
        <v>0</v>
      </c>
    </row>
    <row r="7" spans="1:53" x14ac:dyDescent="0.25">
      <c r="A7" s="62" t="s">
        <v>325</v>
      </c>
      <c r="B7" s="861"/>
      <c r="C7" s="861"/>
      <c r="D7" s="861"/>
      <c r="E7" s="861"/>
      <c r="F7" s="861"/>
      <c r="G7" s="861"/>
      <c r="H7" s="861"/>
      <c r="I7" s="861"/>
      <c r="J7" s="861"/>
      <c r="K7" s="861"/>
      <c r="L7" s="861"/>
      <c r="M7" s="861"/>
      <c r="N7" s="861"/>
      <c r="O7" s="861"/>
      <c r="P7" s="861"/>
      <c r="Q7" s="861"/>
      <c r="R7" s="861"/>
      <c r="S7" s="861"/>
      <c r="T7" s="861"/>
      <c r="U7" s="861"/>
      <c r="V7" s="861"/>
      <c r="W7" s="861"/>
      <c r="X7" s="861"/>
      <c r="Y7" s="861"/>
      <c r="Z7" s="861"/>
      <c r="AA7" s="861"/>
      <c r="AB7" s="861">
        <v>2843.29</v>
      </c>
      <c r="AC7" s="861">
        <v>1837.35</v>
      </c>
      <c r="AD7" s="861"/>
      <c r="AE7" s="861"/>
      <c r="AF7" s="861"/>
      <c r="AG7" s="861"/>
      <c r="AH7" s="861"/>
      <c r="AI7" s="861"/>
      <c r="AJ7" s="861"/>
      <c r="AK7" s="862"/>
      <c r="AL7" s="945"/>
      <c r="AM7" s="946"/>
      <c r="AN7" s="940"/>
      <c r="AO7" s="886"/>
      <c r="AP7" s="247"/>
      <c r="AQ7" s="861"/>
      <c r="AR7" s="861"/>
      <c r="AS7" s="862"/>
      <c r="AT7" s="894"/>
      <c r="AU7" s="247"/>
      <c r="AV7" s="861">
        <f t="shared" si="0"/>
        <v>4680.6399999999994</v>
      </c>
      <c r="AW7" s="247">
        <f t="shared" si="0"/>
        <v>4680.6399999999994</v>
      </c>
      <c r="AX7" s="861"/>
      <c r="AY7" s="861"/>
      <c r="AZ7" s="894">
        <f t="shared" ref="AZ7:AZ42" si="1">AV7+AX7</f>
        <v>4680.6399999999994</v>
      </c>
      <c r="BA7" s="247">
        <f t="shared" ref="BA7:BA42" si="2">AW7+AY7</f>
        <v>4680.6399999999994</v>
      </c>
    </row>
    <row r="8" spans="1:53" x14ac:dyDescent="0.25">
      <c r="A8" s="62" t="s">
        <v>326</v>
      </c>
      <c r="B8" s="861"/>
      <c r="C8" s="861"/>
      <c r="D8" s="861"/>
      <c r="E8" s="861"/>
      <c r="F8" s="861"/>
      <c r="G8" s="861"/>
      <c r="H8" s="861"/>
      <c r="I8" s="861"/>
      <c r="J8" s="861"/>
      <c r="K8" s="861"/>
      <c r="L8" s="861"/>
      <c r="M8" s="861"/>
      <c r="N8" s="861"/>
      <c r="O8" s="861"/>
      <c r="P8" s="861"/>
      <c r="Q8" s="861"/>
      <c r="R8" s="861"/>
      <c r="S8" s="861"/>
      <c r="T8" s="861"/>
      <c r="U8" s="861"/>
      <c r="V8" s="861"/>
      <c r="W8" s="861"/>
      <c r="X8" s="861"/>
      <c r="Y8" s="861"/>
      <c r="Z8" s="861"/>
      <c r="AA8" s="861"/>
      <c r="AB8" s="861"/>
      <c r="AC8" s="861"/>
      <c r="AD8" s="861"/>
      <c r="AE8" s="861"/>
      <c r="AF8" s="861"/>
      <c r="AG8" s="861"/>
      <c r="AH8" s="861"/>
      <c r="AI8" s="861"/>
      <c r="AJ8" s="861"/>
      <c r="AK8" s="862"/>
      <c r="AL8" s="945"/>
      <c r="AM8" s="946"/>
      <c r="AN8" s="940"/>
      <c r="AO8" s="886"/>
      <c r="AP8" s="247"/>
      <c r="AQ8" s="861"/>
      <c r="AR8" s="861"/>
      <c r="AS8" s="862"/>
      <c r="AT8" s="894"/>
      <c r="AU8" s="247"/>
      <c r="AV8" s="861">
        <f t="shared" si="0"/>
        <v>0</v>
      </c>
      <c r="AW8" s="247">
        <f t="shared" si="0"/>
        <v>0</v>
      </c>
      <c r="AX8" s="861"/>
      <c r="AY8" s="861"/>
      <c r="AZ8" s="894">
        <f t="shared" si="1"/>
        <v>0</v>
      </c>
      <c r="BA8" s="247">
        <f t="shared" si="2"/>
        <v>0</v>
      </c>
    </row>
    <row r="9" spans="1:53" x14ac:dyDescent="0.25">
      <c r="A9" s="62" t="s">
        <v>327</v>
      </c>
      <c r="B9" s="861">
        <v>34436</v>
      </c>
      <c r="C9" s="861">
        <v>25688</v>
      </c>
      <c r="D9" s="861">
        <v>280</v>
      </c>
      <c r="E9" s="861">
        <v>254</v>
      </c>
      <c r="F9" s="861"/>
      <c r="G9" s="861"/>
      <c r="H9" s="861">
        <v>56324</v>
      </c>
      <c r="I9" s="861">
        <v>49525</v>
      </c>
      <c r="J9" s="861">
        <v>3386</v>
      </c>
      <c r="K9" s="861">
        <v>2882</v>
      </c>
      <c r="L9" s="861">
        <v>1374</v>
      </c>
      <c r="M9" s="861">
        <v>532</v>
      </c>
      <c r="N9" s="861">
        <v>10486</v>
      </c>
      <c r="O9" s="861">
        <v>7611</v>
      </c>
      <c r="P9" s="861">
        <v>2591</v>
      </c>
      <c r="Q9" s="861">
        <v>1743</v>
      </c>
      <c r="R9" s="861"/>
      <c r="S9" s="861">
        <v>57774</v>
      </c>
      <c r="T9" s="861">
        <v>6082</v>
      </c>
      <c r="U9" s="861">
        <v>3208</v>
      </c>
      <c r="V9" s="861">
        <v>77183</v>
      </c>
      <c r="W9" s="861">
        <v>53931</v>
      </c>
      <c r="X9" s="861">
        <v>109452</v>
      </c>
      <c r="Y9" s="861">
        <v>78572</v>
      </c>
      <c r="Z9" s="861">
        <v>1732</v>
      </c>
      <c r="AA9" s="861">
        <v>1142</v>
      </c>
      <c r="AB9" s="861"/>
      <c r="AC9" s="861"/>
      <c r="AD9" s="861">
        <v>9146</v>
      </c>
      <c r="AE9" s="861">
        <v>7254</v>
      </c>
      <c r="AF9" s="861">
        <v>73283</v>
      </c>
      <c r="AG9" s="861">
        <v>59685</v>
      </c>
      <c r="AH9" s="861">
        <v>20231</v>
      </c>
      <c r="AI9" s="861">
        <v>11792</v>
      </c>
      <c r="AJ9" s="861">
        <v>9582</v>
      </c>
      <c r="AK9" s="862">
        <v>7080</v>
      </c>
      <c r="AL9" s="945"/>
      <c r="AM9" s="946"/>
      <c r="AN9" s="940">
        <v>20933</v>
      </c>
      <c r="AO9" s="886">
        <v>13580</v>
      </c>
      <c r="AP9" s="247">
        <v>10783.1</v>
      </c>
      <c r="AQ9" s="861">
        <v>7489</v>
      </c>
      <c r="AR9" s="861">
        <v>2098</v>
      </c>
      <c r="AS9" s="862">
        <v>1506</v>
      </c>
      <c r="AT9" s="894">
        <v>51443</v>
      </c>
      <c r="AU9" s="247">
        <v>49070</v>
      </c>
      <c r="AV9" s="861">
        <f>SUM(B9:AU9)</f>
        <v>941143.1</v>
      </c>
      <c r="AW9" s="247">
        <f t="shared" si="0"/>
        <v>906707.1</v>
      </c>
      <c r="AX9" s="861"/>
      <c r="AY9" s="861"/>
      <c r="AZ9" s="894">
        <f t="shared" si="1"/>
        <v>941143.1</v>
      </c>
      <c r="BA9" s="247">
        <f t="shared" si="2"/>
        <v>906707.1</v>
      </c>
    </row>
    <row r="10" spans="1:53" x14ac:dyDescent="0.25">
      <c r="A10" s="62" t="s">
        <v>328</v>
      </c>
      <c r="B10" s="861"/>
      <c r="C10" s="861"/>
      <c r="D10" s="863"/>
      <c r="E10" s="863"/>
      <c r="F10" s="861"/>
      <c r="G10" s="861"/>
      <c r="H10" s="861"/>
      <c r="I10" s="861"/>
      <c r="J10" s="861"/>
      <c r="K10" s="861"/>
      <c r="L10" s="861"/>
      <c r="M10" s="861"/>
      <c r="N10" s="861"/>
      <c r="O10" s="861"/>
      <c r="P10" s="861"/>
      <c r="Q10" s="861">
        <v>50</v>
      </c>
      <c r="R10" s="861"/>
      <c r="S10" s="861"/>
      <c r="T10" s="861"/>
      <c r="U10" s="861"/>
      <c r="V10" s="861"/>
      <c r="W10" s="861"/>
      <c r="X10" s="861"/>
      <c r="Y10" s="861"/>
      <c r="Z10" s="861"/>
      <c r="AA10" s="861"/>
      <c r="AB10" s="861"/>
      <c r="AC10" s="861"/>
      <c r="AD10" s="861"/>
      <c r="AE10" s="861"/>
      <c r="AF10" s="861"/>
      <c r="AG10" s="861"/>
      <c r="AH10" s="861"/>
      <c r="AI10" s="861"/>
      <c r="AJ10" s="861"/>
      <c r="AK10" s="862"/>
      <c r="AL10" s="945"/>
      <c r="AM10" s="946"/>
      <c r="AN10" s="940">
        <v>14774</v>
      </c>
      <c r="AO10" s="886">
        <v>20252</v>
      </c>
      <c r="AP10" s="247"/>
      <c r="AQ10" s="861"/>
      <c r="AR10" s="861"/>
      <c r="AS10" s="862"/>
      <c r="AT10" s="894"/>
      <c r="AU10" s="247"/>
      <c r="AV10" s="861">
        <f t="shared" si="0"/>
        <v>35076</v>
      </c>
      <c r="AW10" s="247">
        <f t="shared" si="0"/>
        <v>35076</v>
      </c>
      <c r="AX10" s="861"/>
      <c r="AY10" s="861"/>
      <c r="AZ10" s="894">
        <f t="shared" si="1"/>
        <v>35076</v>
      </c>
      <c r="BA10" s="247">
        <f t="shared" si="2"/>
        <v>35076</v>
      </c>
    </row>
    <row r="11" spans="1:53" ht="13.5" x14ac:dyDescent="0.3">
      <c r="A11" s="860" t="s">
        <v>329</v>
      </c>
      <c r="B11" s="861"/>
      <c r="C11" s="861"/>
      <c r="D11" s="861">
        <v>7251</v>
      </c>
      <c r="E11" s="861">
        <v>6941</v>
      </c>
      <c r="F11" s="861"/>
      <c r="G11" s="861"/>
      <c r="H11" s="861"/>
      <c r="I11" s="861"/>
      <c r="J11" s="861"/>
      <c r="K11" s="861"/>
      <c r="L11" s="861"/>
      <c r="M11" s="861"/>
      <c r="N11" s="861"/>
      <c r="O11" s="861"/>
      <c r="P11" s="861">
        <v>80</v>
      </c>
      <c r="Q11" s="861"/>
      <c r="R11" s="861"/>
      <c r="S11" s="861">
        <v>42</v>
      </c>
      <c r="T11" s="861">
        <v>12</v>
      </c>
      <c r="U11" s="861">
        <v>1</v>
      </c>
      <c r="V11" s="861"/>
      <c r="W11" s="861"/>
      <c r="X11" s="861"/>
      <c r="Y11" s="861"/>
      <c r="Z11" s="861"/>
      <c r="AA11" s="861"/>
      <c r="AB11" s="861"/>
      <c r="AC11" s="861"/>
      <c r="AD11" s="861"/>
      <c r="AE11" s="861"/>
      <c r="AF11" s="861">
        <v>12190</v>
      </c>
      <c r="AG11" s="861"/>
      <c r="AH11" s="861"/>
      <c r="AI11" s="861"/>
      <c r="AJ11" s="861"/>
      <c r="AK11" s="862"/>
      <c r="AL11" s="945"/>
      <c r="AM11" s="946"/>
      <c r="AN11" s="940"/>
      <c r="AO11" s="886"/>
      <c r="AP11" s="247"/>
      <c r="AQ11" s="861"/>
      <c r="AR11" s="861"/>
      <c r="AS11" s="862"/>
      <c r="AT11" s="894"/>
      <c r="AU11" s="247"/>
      <c r="AV11" s="861">
        <f t="shared" si="0"/>
        <v>26517</v>
      </c>
      <c r="AW11" s="247">
        <f t="shared" si="0"/>
        <v>26517</v>
      </c>
      <c r="AX11" s="861"/>
      <c r="AY11" s="861"/>
      <c r="AZ11" s="894">
        <f t="shared" si="1"/>
        <v>26517</v>
      </c>
      <c r="BA11" s="247">
        <f t="shared" si="2"/>
        <v>26517</v>
      </c>
    </row>
    <row r="12" spans="1:53" ht="13.5" x14ac:dyDescent="0.3">
      <c r="A12" s="860" t="s">
        <v>330</v>
      </c>
      <c r="B12" s="861"/>
      <c r="C12" s="861"/>
      <c r="D12" s="861"/>
      <c r="E12" s="861"/>
      <c r="F12" s="861"/>
      <c r="G12" s="861"/>
      <c r="H12" s="861"/>
      <c r="I12" s="861"/>
      <c r="J12" s="861"/>
      <c r="K12" s="861"/>
      <c r="L12" s="861"/>
      <c r="M12" s="861"/>
      <c r="N12" s="861"/>
      <c r="O12" s="861"/>
      <c r="P12" s="861"/>
      <c r="Q12" s="861">
        <v>-11</v>
      </c>
      <c r="R12" s="861"/>
      <c r="S12" s="861"/>
      <c r="T12" s="861"/>
      <c r="U12" s="861"/>
      <c r="V12" s="861"/>
      <c r="W12" s="861"/>
      <c r="X12" s="861"/>
      <c r="Y12" s="861"/>
      <c r="Z12" s="861"/>
      <c r="AA12" s="861"/>
      <c r="AB12" s="861"/>
      <c r="AC12" s="861"/>
      <c r="AD12" s="861"/>
      <c r="AE12" s="861"/>
      <c r="AF12" s="861"/>
      <c r="AG12" s="861"/>
      <c r="AH12" s="861"/>
      <c r="AI12" s="861"/>
      <c r="AJ12" s="861"/>
      <c r="AK12" s="862"/>
      <c r="AL12" s="945"/>
      <c r="AM12" s="946"/>
      <c r="AN12" s="940"/>
      <c r="AO12" s="886"/>
      <c r="AP12" s="247"/>
      <c r="AQ12" s="861"/>
      <c r="AR12" s="861"/>
      <c r="AS12" s="862"/>
      <c r="AT12" s="894"/>
      <c r="AU12" s="247"/>
      <c r="AV12" s="861">
        <f t="shared" si="0"/>
        <v>-11</v>
      </c>
      <c r="AW12" s="247">
        <f t="shared" si="0"/>
        <v>-11</v>
      </c>
      <c r="AX12" s="861"/>
      <c r="AY12" s="861"/>
      <c r="AZ12" s="894"/>
      <c r="BA12" s="247">
        <f t="shared" si="2"/>
        <v>-11</v>
      </c>
    </row>
    <row r="13" spans="1:53" ht="14.25" x14ac:dyDescent="0.3">
      <c r="A13" s="839" t="s">
        <v>54</v>
      </c>
      <c r="B13" s="861">
        <f>B9</f>
        <v>34436</v>
      </c>
      <c r="C13" s="861">
        <f>C9</f>
        <v>25688</v>
      </c>
      <c r="D13" s="863">
        <f>D9+D11</f>
        <v>7531</v>
      </c>
      <c r="E13" s="863">
        <v>7195</v>
      </c>
      <c r="F13" s="861"/>
      <c r="G13" s="861"/>
      <c r="H13" s="861">
        <f>H9</f>
        <v>56324</v>
      </c>
      <c r="I13" s="861">
        <f>I9</f>
        <v>49525</v>
      </c>
      <c r="J13" s="861">
        <f>J9</f>
        <v>3386</v>
      </c>
      <c r="K13" s="861">
        <f>K9</f>
        <v>2882</v>
      </c>
      <c r="L13" s="861">
        <f t="shared" ref="L13:AD13" si="3">SUM(L5:L11)</f>
        <v>1374</v>
      </c>
      <c r="M13" s="861">
        <f>M9</f>
        <v>532</v>
      </c>
      <c r="N13" s="861">
        <f t="shared" si="3"/>
        <v>10486</v>
      </c>
      <c r="O13" s="861">
        <f>O9</f>
        <v>7611</v>
      </c>
      <c r="P13" s="861">
        <v>2671</v>
      </c>
      <c r="Q13" s="861">
        <v>1782</v>
      </c>
      <c r="R13" s="861">
        <f t="shared" si="3"/>
        <v>0</v>
      </c>
      <c r="S13" s="861">
        <v>57816</v>
      </c>
      <c r="T13" s="861">
        <v>6094</v>
      </c>
      <c r="U13" s="861">
        <v>3209</v>
      </c>
      <c r="V13" s="861">
        <f t="shared" si="3"/>
        <v>77183</v>
      </c>
      <c r="W13" s="861">
        <f>W9</f>
        <v>53931</v>
      </c>
      <c r="X13" s="861">
        <f t="shared" si="3"/>
        <v>109452</v>
      </c>
      <c r="Y13" s="861">
        <v>78572</v>
      </c>
      <c r="Z13" s="861">
        <f t="shared" si="3"/>
        <v>1732</v>
      </c>
      <c r="AA13" s="861">
        <f>AA9</f>
        <v>1142</v>
      </c>
      <c r="AB13" s="861">
        <f t="shared" si="3"/>
        <v>2843.29</v>
      </c>
      <c r="AC13" s="861">
        <f>AC7</f>
        <v>1837.35</v>
      </c>
      <c r="AD13" s="861">
        <f t="shared" si="3"/>
        <v>9146</v>
      </c>
      <c r="AE13" s="861">
        <f>AE9</f>
        <v>7254</v>
      </c>
      <c r="AF13" s="861">
        <v>85473</v>
      </c>
      <c r="AG13" s="861">
        <v>59685</v>
      </c>
      <c r="AH13" s="861">
        <f>AH9</f>
        <v>20231</v>
      </c>
      <c r="AI13" s="861">
        <f>AI9</f>
        <v>11792</v>
      </c>
      <c r="AJ13" s="861">
        <f>SUM(AJ5:AJ11)</f>
        <v>9582</v>
      </c>
      <c r="AK13" s="862">
        <f>AK9</f>
        <v>7080</v>
      </c>
      <c r="AL13" s="945"/>
      <c r="AM13" s="946"/>
      <c r="AN13" s="940">
        <f>SUM(AN5:AN11)</f>
        <v>35707</v>
      </c>
      <c r="AO13" s="886">
        <v>33832</v>
      </c>
      <c r="AP13" s="247">
        <f>SUM(AP5:AP11)</f>
        <v>10783.1</v>
      </c>
      <c r="AQ13" s="861">
        <f>AQ9</f>
        <v>7489</v>
      </c>
      <c r="AR13" s="861">
        <f>SUM(AR5:AR11)</f>
        <v>2098</v>
      </c>
      <c r="AS13" s="862">
        <f>AS9</f>
        <v>1506</v>
      </c>
      <c r="AT13" s="894">
        <f>AT9</f>
        <v>51443</v>
      </c>
      <c r="AU13" s="247">
        <f>AU9</f>
        <v>49070</v>
      </c>
      <c r="AV13" s="861">
        <f t="shared" si="0"/>
        <v>958335.74</v>
      </c>
      <c r="AW13" s="247">
        <f t="shared" si="0"/>
        <v>972969.74</v>
      </c>
      <c r="AX13" s="861"/>
      <c r="AY13" s="861"/>
      <c r="AZ13" s="894">
        <f t="shared" si="1"/>
        <v>958335.74</v>
      </c>
      <c r="BA13" s="247">
        <f t="shared" si="2"/>
        <v>972969.74</v>
      </c>
    </row>
    <row r="14" spans="1:53" ht="14.25" x14ac:dyDescent="0.3">
      <c r="A14" s="839" t="s">
        <v>331</v>
      </c>
      <c r="B14" s="861"/>
      <c r="C14" s="861"/>
      <c r="D14" s="861"/>
      <c r="E14" s="861"/>
      <c r="F14" s="861"/>
      <c r="G14" s="861"/>
      <c r="H14" s="861"/>
      <c r="I14" s="861"/>
      <c r="J14" s="861"/>
      <c r="K14" s="861"/>
      <c r="L14" s="861"/>
      <c r="M14" s="861"/>
      <c r="N14" s="861"/>
      <c r="O14" s="861"/>
      <c r="P14" s="861"/>
      <c r="Q14" s="861"/>
      <c r="R14" s="861"/>
      <c r="S14" s="861"/>
      <c r="T14" s="861"/>
      <c r="U14" s="861"/>
      <c r="V14" s="861"/>
      <c r="W14" s="861"/>
      <c r="X14" s="861"/>
      <c r="Y14" s="861"/>
      <c r="Z14" s="861"/>
      <c r="AA14" s="861"/>
      <c r="AB14" s="861"/>
      <c r="AC14" s="861"/>
      <c r="AD14" s="861"/>
      <c r="AE14" s="861"/>
      <c r="AF14" s="861"/>
      <c r="AG14" s="861"/>
      <c r="AH14" s="861"/>
      <c r="AI14" s="861"/>
      <c r="AJ14" s="861"/>
      <c r="AK14" s="862"/>
      <c r="AL14" s="945"/>
      <c r="AM14" s="946"/>
      <c r="AN14" s="940"/>
      <c r="AO14" s="886"/>
      <c r="AP14" s="247"/>
      <c r="AQ14" s="861"/>
      <c r="AR14" s="861"/>
      <c r="AS14" s="862"/>
      <c r="AT14" s="894"/>
      <c r="AU14" s="247"/>
      <c r="AV14" s="861">
        <f t="shared" si="0"/>
        <v>0</v>
      </c>
      <c r="AW14" s="247">
        <f t="shared" si="0"/>
        <v>0</v>
      </c>
      <c r="AX14" s="861"/>
      <c r="AY14" s="861"/>
      <c r="AZ14" s="894">
        <f t="shared" si="1"/>
        <v>0</v>
      </c>
      <c r="BA14" s="247">
        <f t="shared" si="2"/>
        <v>0</v>
      </c>
    </row>
    <row r="15" spans="1:53" x14ac:dyDescent="0.25">
      <c r="A15" s="62" t="s">
        <v>332</v>
      </c>
      <c r="B15" s="861"/>
      <c r="C15" s="861"/>
      <c r="D15" s="861"/>
      <c r="E15" s="861"/>
      <c r="F15" s="861"/>
      <c r="G15" s="861"/>
      <c r="H15" s="861"/>
      <c r="I15" s="861"/>
      <c r="J15" s="861"/>
      <c r="K15" s="861"/>
      <c r="L15" s="861"/>
      <c r="M15" s="861"/>
      <c r="N15" s="861"/>
      <c r="O15" s="861"/>
      <c r="P15" s="861"/>
      <c r="Q15" s="861"/>
      <c r="R15" s="861"/>
      <c r="S15" s="861"/>
      <c r="T15" s="861"/>
      <c r="U15" s="861"/>
      <c r="V15" s="861"/>
      <c r="W15" s="861"/>
      <c r="X15" s="861"/>
      <c r="Y15" s="861"/>
      <c r="Z15" s="861"/>
      <c r="AA15" s="861"/>
      <c r="AB15" s="861"/>
      <c r="AC15" s="861"/>
      <c r="AD15" s="861"/>
      <c r="AE15" s="861"/>
      <c r="AF15" s="861"/>
      <c r="AG15" s="861"/>
      <c r="AH15" s="861"/>
      <c r="AI15" s="861"/>
      <c r="AJ15" s="861"/>
      <c r="AK15" s="862"/>
      <c r="AL15" s="945"/>
      <c r="AM15" s="946"/>
      <c r="AN15" s="940"/>
      <c r="AO15" s="886"/>
      <c r="AP15" s="247"/>
      <c r="AQ15" s="861"/>
      <c r="AR15" s="861"/>
      <c r="AS15" s="862"/>
      <c r="AT15" s="894"/>
      <c r="AU15" s="247"/>
      <c r="AV15" s="861">
        <f t="shared" si="0"/>
        <v>0</v>
      </c>
      <c r="AW15" s="247">
        <f t="shared" si="0"/>
        <v>0</v>
      </c>
      <c r="AX15" s="861"/>
      <c r="AY15" s="861"/>
      <c r="AZ15" s="894">
        <f t="shared" si="1"/>
        <v>0</v>
      </c>
      <c r="BA15" s="247">
        <f t="shared" si="2"/>
        <v>0</v>
      </c>
    </row>
    <row r="16" spans="1:53" x14ac:dyDescent="0.25">
      <c r="A16" s="62" t="s">
        <v>333</v>
      </c>
      <c r="B16" s="861"/>
      <c r="C16" s="861"/>
      <c r="D16" s="863"/>
      <c r="E16" s="863"/>
      <c r="F16" s="861"/>
      <c r="G16" s="861"/>
      <c r="H16" s="861"/>
      <c r="I16" s="861"/>
      <c r="J16" s="861"/>
      <c r="K16" s="861"/>
      <c r="L16" s="861"/>
      <c r="M16" s="861"/>
      <c r="N16" s="861"/>
      <c r="O16" s="861"/>
      <c r="P16" s="861"/>
      <c r="Q16" s="861"/>
      <c r="R16" s="861"/>
      <c r="S16" s="861"/>
      <c r="T16" s="861"/>
      <c r="U16" s="861"/>
      <c r="V16" s="861"/>
      <c r="W16" s="861"/>
      <c r="X16" s="861"/>
      <c r="Y16" s="861"/>
      <c r="Z16" s="861"/>
      <c r="AA16" s="861"/>
      <c r="AB16" s="861"/>
      <c r="AC16" s="861"/>
      <c r="AD16" s="861"/>
      <c r="AE16" s="861"/>
      <c r="AF16" s="861"/>
      <c r="AG16" s="861"/>
      <c r="AH16" s="861"/>
      <c r="AI16" s="861"/>
      <c r="AJ16" s="861"/>
      <c r="AK16" s="862"/>
      <c r="AL16" s="945"/>
      <c r="AM16" s="946"/>
      <c r="AN16" s="940">
        <v>14774</v>
      </c>
      <c r="AO16" s="886">
        <v>20252</v>
      </c>
      <c r="AP16" s="247"/>
      <c r="AQ16" s="861"/>
      <c r="AR16" s="861"/>
      <c r="AS16" s="862"/>
      <c r="AT16" s="894"/>
      <c r="AU16" s="247"/>
      <c r="AV16" s="861">
        <f t="shared" si="0"/>
        <v>35026</v>
      </c>
      <c r="AW16" s="247">
        <f t="shared" si="0"/>
        <v>35026</v>
      </c>
      <c r="AX16" s="861"/>
      <c r="AY16" s="861"/>
      <c r="AZ16" s="894">
        <f t="shared" si="1"/>
        <v>35026</v>
      </c>
      <c r="BA16" s="247">
        <f t="shared" si="2"/>
        <v>35026</v>
      </c>
    </row>
    <row r="17" spans="1:53" x14ac:dyDescent="0.25">
      <c r="A17" s="62" t="s">
        <v>334</v>
      </c>
      <c r="B17" s="861"/>
      <c r="C17" s="861"/>
      <c r="D17" s="861"/>
      <c r="E17" s="861"/>
      <c r="F17" s="861"/>
      <c r="G17" s="861"/>
      <c r="H17" s="861"/>
      <c r="I17" s="861"/>
      <c r="J17" s="861"/>
      <c r="K17" s="861"/>
      <c r="L17" s="861"/>
      <c r="M17" s="861"/>
      <c r="N17" s="861"/>
      <c r="O17" s="861"/>
      <c r="P17" s="861"/>
      <c r="Q17" s="861"/>
      <c r="R17" s="861"/>
      <c r="S17" s="861"/>
      <c r="T17" s="861"/>
      <c r="U17" s="861"/>
      <c r="V17" s="861"/>
      <c r="W17" s="861"/>
      <c r="X17" s="861"/>
      <c r="Y17" s="861"/>
      <c r="Z17" s="861"/>
      <c r="AA17" s="861"/>
      <c r="AB17" s="861"/>
      <c r="AC17" s="861"/>
      <c r="AD17" s="861"/>
      <c r="AE17" s="861"/>
      <c r="AF17" s="861"/>
      <c r="AG17" s="861"/>
      <c r="AH17" s="861"/>
      <c r="AI17" s="861"/>
      <c r="AJ17" s="861"/>
      <c r="AK17" s="862"/>
      <c r="AL17" s="945"/>
      <c r="AM17" s="946"/>
      <c r="AN17" s="940"/>
      <c r="AO17" s="886"/>
      <c r="AP17" s="247"/>
      <c r="AQ17" s="861"/>
      <c r="AR17" s="861"/>
      <c r="AS17" s="862"/>
      <c r="AT17" s="894"/>
      <c r="AU17" s="247"/>
      <c r="AV17" s="861">
        <f t="shared" si="0"/>
        <v>0</v>
      </c>
      <c r="AW17" s="247">
        <f t="shared" si="0"/>
        <v>0</v>
      </c>
      <c r="AX17" s="861"/>
      <c r="AY17" s="861"/>
      <c r="AZ17" s="894">
        <f t="shared" si="1"/>
        <v>0</v>
      </c>
      <c r="BA17" s="247">
        <f t="shared" si="2"/>
        <v>0</v>
      </c>
    </row>
    <row r="18" spans="1:53" x14ac:dyDescent="0.25">
      <c r="A18" s="62" t="s">
        <v>335</v>
      </c>
      <c r="B18" s="861"/>
      <c r="C18" s="861"/>
      <c r="D18" s="861"/>
      <c r="E18" s="861"/>
      <c r="F18" s="861"/>
      <c r="G18" s="861"/>
      <c r="H18" s="861"/>
      <c r="I18" s="861"/>
      <c r="J18" s="861"/>
      <c r="K18" s="861"/>
      <c r="L18" s="861"/>
      <c r="M18" s="861"/>
      <c r="N18" s="861"/>
      <c r="O18" s="861"/>
      <c r="P18" s="861"/>
      <c r="Q18" s="861"/>
      <c r="R18" s="861"/>
      <c r="S18" s="861"/>
      <c r="T18" s="861"/>
      <c r="U18" s="861"/>
      <c r="V18" s="861"/>
      <c r="W18" s="861"/>
      <c r="X18" s="861"/>
      <c r="Y18" s="861"/>
      <c r="Z18" s="861"/>
      <c r="AA18" s="861"/>
      <c r="AB18" s="861"/>
      <c r="AC18" s="861"/>
      <c r="AD18" s="861"/>
      <c r="AE18" s="861"/>
      <c r="AF18" s="861"/>
      <c r="AG18" s="861"/>
      <c r="AH18" s="861"/>
      <c r="AI18" s="861"/>
      <c r="AJ18" s="861"/>
      <c r="AK18" s="862"/>
      <c r="AL18" s="945"/>
      <c r="AM18" s="946"/>
      <c r="AN18" s="940"/>
      <c r="AO18" s="886"/>
      <c r="AP18" s="247"/>
      <c r="AQ18" s="861"/>
      <c r="AR18" s="861"/>
      <c r="AS18" s="862"/>
      <c r="AT18" s="894"/>
      <c r="AU18" s="247"/>
      <c r="AV18" s="861">
        <f t="shared" si="0"/>
        <v>0</v>
      </c>
      <c r="AW18" s="247">
        <f t="shared" si="0"/>
        <v>0</v>
      </c>
      <c r="AX18" s="861"/>
      <c r="AY18" s="861"/>
      <c r="AZ18" s="894">
        <f t="shared" si="1"/>
        <v>0</v>
      </c>
      <c r="BA18" s="247">
        <f t="shared" si="2"/>
        <v>0</v>
      </c>
    </row>
    <row r="19" spans="1:53" x14ac:dyDescent="0.25">
      <c r="A19" s="62" t="s">
        <v>336</v>
      </c>
      <c r="B19" s="861">
        <f>B9</f>
        <v>34436</v>
      </c>
      <c r="C19" s="861">
        <v>25688</v>
      </c>
      <c r="D19" s="861">
        <v>280</v>
      </c>
      <c r="E19" s="861">
        <v>254</v>
      </c>
      <c r="F19" s="861"/>
      <c r="G19" s="861"/>
      <c r="H19" s="861">
        <f>H9</f>
        <v>56324</v>
      </c>
      <c r="I19" s="861">
        <f>I9</f>
        <v>49525</v>
      </c>
      <c r="J19" s="861">
        <f>J9</f>
        <v>3386</v>
      </c>
      <c r="K19" s="861">
        <f>K9</f>
        <v>2882</v>
      </c>
      <c r="L19" s="861">
        <v>1374</v>
      </c>
      <c r="M19" s="861">
        <f>M9</f>
        <v>532</v>
      </c>
      <c r="N19" s="861">
        <f>N9</f>
        <v>10486</v>
      </c>
      <c r="O19" s="861">
        <f>O9</f>
        <v>7611</v>
      </c>
      <c r="P19" s="861">
        <v>2591</v>
      </c>
      <c r="Q19" s="861">
        <v>1743</v>
      </c>
      <c r="R19" s="861">
        <v>49078</v>
      </c>
      <c r="S19" s="861">
        <v>57774</v>
      </c>
      <c r="T19" s="861">
        <v>6094</v>
      </c>
      <c r="U19" s="861">
        <v>3208</v>
      </c>
      <c r="V19" s="861">
        <v>77183</v>
      </c>
      <c r="W19" s="861">
        <f>W9</f>
        <v>53931</v>
      </c>
      <c r="X19" s="861">
        <f>X13</f>
        <v>109452</v>
      </c>
      <c r="Y19" s="861">
        <v>78572</v>
      </c>
      <c r="Z19" s="861">
        <f>Z13</f>
        <v>1732</v>
      </c>
      <c r="AA19" s="861">
        <f>AA9</f>
        <v>1142</v>
      </c>
      <c r="AB19" s="861">
        <f>AB13</f>
        <v>2843.29</v>
      </c>
      <c r="AC19" s="861">
        <f>AC7</f>
        <v>1837.35</v>
      </c>
      <c r="AD19" s="861"/>
      <c r="AE19" s="861">
        <f>AE9</f>
        <v>7254</v>
      </c>
      <c r="AF19" s="861">
        <v>73283</v>
      </c>
      <c r="AG19" s="861">
        <f>AG9</f>
        <v>59685</v>
      </c>
      <c r="AH19" s="861">
        <f>AH9</f>
        <v>20231</v>
      </c>
      <c r="AI19" s="861">
        <f>AI9</f>
        <v>11792</v>
      </c>
      <c r="AJ19" s="861">
        <f>AJ13</f>
        <v>9582</v>
      </c>
      <c r="AK19" s="862">
        <f>AK9</f>
        <v>7080</v>
      </c>
      <c r="AL19" s="945"/>
      <c r="AM19" s="946"/>
      <c r="AN19" s="940">
        <v>20933</v>
      </c>
      <c r="AO19" s="886">
        <v>13850</v>
      </c>
      <c r="AP19" s="247">
        <v>10783.1</v>
      </c>
      <c r="AQ19" s="861">
        <f>AQ9</f>
        <v>7489</v>
      </c>
      <c r="AR19" s="861">
        <f>AR13</f>
        <v>2098</v>
      </c>
      <c r="AS19" s="862">
        <f>AS9</f>
        <v>1506</v>
      </c>
      <c r="AT19" s="894">
        <f>AT9</f>
        <v>51443</v>
      </c>
      <c r="AU19" s="247">
        <f>AU9</f>
        <v>49070</v>
      </c>
      <c r="AV19" s="861">
        <f t="shared" si="0"/>
        <v>936967.74</v>
      </c>
      <c r="AW19" s="247">
        <f t="shared" si="0"/>
        <v>951601.74</v>
      </c>
      <c r="AX19" s="861"/>
      <c r="AY19" s="861"/>
      <c r="AZ19" s="894">
        <f t="shared" si="1"/>
        <v>936967.74</v>
      </c>
      <c r="BA19" s="247">
        <f t="shared" si="2"/>
        <v>951601.74</v>
      </c>
    </row>
    <row r="20" spans="1:53" x14ac:dyDescent="0.25">
      <c r="A20" s="62" t="s">
        <v>337</v>
      </c>
      <c r="B20" s="861"/>
      <c r="C20" s="861"/>
      <c r="D20" s="861">
        <v>7251</v>
      </c>
      <c r="E20" s="861">
        <v>6941</v>
      </c>
      <c r="F20" s="861"/>
      <c r="G20" s="861"/>
      <c r="H20" s="861"/>
      <c r="I20" s="861"/>
      <c r="J20" s="861"/>
      <c r="K20" s="861"/>
      <c r="L20" s="861"/>
      <c r="M20" s="861"/>
      <c r="N20" s="861"/>
      <c r="O20" s="861"/>
      <c r="P20" s="861">
        <v>81</v>
      </c>
      <c r="Q20" s="861">
        <v>50</v>
      </c>
      <c r="R20" s="861"/>
      <c r="S20" s="861">
        <v>42</v>
      </c>
      <c r="T20" s="861"/>
      <c r="U20" s="861">
        <v>1</v>
      </c>
      <c r="V20" s="861"/>
      <c r="W20" s="861"/>
      <c r="X20" s="861"/>
      <c r="Y20" s="861"/>
      <c r="Z20" s="861"/>
      <c r="AA20" s="861"/>
      <c r="AB20" s="861"/>
      <c r="AC20" s="861"/>
      <c r="AD20" s="861"/>
      <c r="AE20" s="861"/>
      <c r="AF20" s="861">
        <v>12190</v>
      </c>
      <c r="AG20" s="861"/>
      <c r="AH20" s="861"/>
      <c r="AI20" s="861"/>
      <c r="AJ20" s="861"/>
      <c r="AK20" s="862"/>
      <c r="AL20" s="945"/>
      <c r="AM20" s="946"/>
      <c r="AN20" s="940"/>
      <c r="AO20" s="886"/>
      <c r="AP20" s="247"/>
      <c r="AQ20" s="861"/>
      <c r="AR20" s="861"/>
      <c r="AS20" s="862"/>
      <c r="AT20" s="894"/>
      <c r="AU20" s="247"/>
      <c r="AV20" s="861">
        <f t="shared" si="0"/>
        <v>26556</v>
      </c>
      <c r="AW20" s="247">
        <f t="shared" si="0"/>
        <v>26556</v>
      </c>
      <c r="AX20" s="861"/>
      <c r="AY20" s="861"/>
      <c r="AZ20" s="894">
        <f t="shared" si="1"/>
        <v>26556</v>
      </c>
      <c r="BA20" s="247">
        <f t="shared" si="2"/>
        <v>26556</v>
      </c>
    </row>
    <row r="21" spans="1:53" ht="13.5" x14ac:dyDescent="0.3">
      <c r="A21" s="860" t="s">
        <v>330</v>
      </c>
      <c r="B21" s="861"/>
      <c r="C21" s="861"/>
      <c r="D21" s="861"/>
      <c r="E21" s="861"/>
      <c r="F21" s="861"/>
      <c r="G21" s="861"/>
      <c r="H21" s="861"/>
      <c r="I21" s="861"/>
      <c r="J21" s="861"/>
      <c r="K21" s="861"/>
      <c r="L21" s="861"/>
      <c r="M21" s="861"/>
      <c r="N21" s="861"/>
      <c r="O21" s="861"/>
      <c r="P21" s="861">
        <v>-1</v>
      </c>
      <c r="Q21" s="861">
        <v>-11</v>
      </c>
      <c r="R21" s="861"/>
      <c r="S21" s="861"/>
      <c r="T21" s="861"/>
      <c r="U21" s="861"/>
      <c r="V21" s="861"/>
      <c r="W21" s="861"/>
      <c r="X21" s="861"/>
      <c r="Y21" s="861"/>
      <c r="Z21" s="861"/>
      <c r="AA21" s="861"/>
      <c r="AB21" s="861"/>
      <c r="AC21" s="861"/>
      <c r="AD21" s="861"/>
      <c r="AE21" s="861"/>
      <c r="AF21" s="861"/>
      <c r="AG21" s="861"/>
      <c r="AH21" s="861"/>
      <c r="AI21" s="861"/>
      <c r="AJ21" s="861"/>
      <c r="AK21" s="862"/>
      <c r="AL21" s="945"/>
      <c r="AM21" s="946"/>
      <c r="AN21" s="940"/>
      <c r="AO21" s="886"/>
      <c r="AP21" s="247"/>
      <c r="AQ21" s="861"/>
      <c r="AR21" s="861"/>
      <c r="AS21" s="862"/>
      <c r="AT21" s="894"/>
      <c r="AU21" s="247"/>
      <c r="AV21" s="861">
        <f t="shared" si="0"/>
        <v>-12</v>
      </c>
      <c r="AW21" s="247">
        <f t="shared" si="0"/>
        <v>-12</v>
      </c>
      <c r="AX21" s="861"/>
      <c r="AY21" s="861"/>
      <c r="AZ21" s="894"/>
      <c r="BA21" s="247">
        <f t="shared" si="2"/>
        <v>-12</v>
      </c>
    </row>
    <row r="22" spans="1:53" ht="14.25" x14ac:dyDescent="0.3">
      <c r="A22" s="839" t="s">
        <v>54</v>
      </c>
      <c r="B22" s="861">
        <f>B9</f>
        <v>34436</v>
      </c>
      <c r="C22" s="861">
        <f>C19</f>
        <v>25688</v>
      </c>
      <c r="D22" s="863">
        <f>D19+D20</f>
        <v>7531</v>
      </c>
      <c r="E22" s="863">
        <v>7195</v>
      </c>
      <c r="F22" s="861"/>
      <c r="G22" s="861"/>
      <c r="H22" s="861">
        <f>H19</f>
        <v>56324</v>
      </c>
      <c r="I22" s="861">
        <f>I9</f>
        <v>49525</v>
      </c>
      <c r="J22" s="861">
        <f>J9</f>
        <v>3386</v>
      </c>
      <c r="K22" s="861">
        <f>K9</f>
        <v>2882</v>
      </c>
      <c r="L22" s="861">
        <f>L9</f>
        <v>1374</v>
      </c>
      <c r="M22" s="861">
        <f>M9</f>
        <v>532</v>
      </c>
      <c r="N22" s="861">
        <f>N19</f>
        <v>10486</v>
      </c>
      <c r="O22" s="861">
        <f>O19</f>
        <v>7611</v>
      </c>
      <c r="P22" s="861">
        <v>2671</v>
      </c>
      <c r="Q22" s="861">
        <v>1781</v>
      </c>
      <c r="R22" s="861">
        <f>R13</f>
        <v>0</v>
      </c>
      <c r="S22" s="861">
        <v>57816</v>
      </c>
      <c r="T22" s="861"/>
      <c r="U22" s="861">
        <v>3209</v>
      </c>
      <c r="V22" s="861">
        <f>V13</f>
        <v>77183</v>
      </c>
      <c r="W22" s="861">
        <f>W9</f>
        <v>53931</v>
      </c>
      <c r="X22" s="861">
        <f>X13</f>
        <v>109452</v>
      </c>
      <c r="Y22" s="861">
        <v>78572</v>
      </c>
      <c r="Z22" s="861">
        <f>Z19</f>
        <v>1732</v>
      </c>
      <c r="AA22" s="861">
        <f>AA9</f>
        <v>1142</v>
      </c>
      <c r="AB22" s="861">
        <f>AB19</f>
        <v>2843.29</v>
      </c>
      <c r="AC22" s="861">
        <f>AC7</f>
        <v>1837.35</v>
      </c>
      <c r="AD22" s="861">
        <f>AD13</f>
        <v>9146</v>
      </c>
      <c r="AE22" s="861">
        <f>AE9</f>
        <v>7254</v>
      </c>
      <c r="AF22" s="861">
        <v>85473</v>
      </c>
      <c r="AG22" s="861">
        <f>AG9</f>
        <v>59685</v>
      </c>
      <c r="AH22" s="861">
        <f>AH9</f>
        <v>20231</v>
      </c>
      <c r="AI22" s="861">
        <f>AI9</f>
        <v>11792</v>
      </c>
      <c r="AJ22" s="861">
        <f>AJ19</f>
        <v>9582</v>
      </c>
      <c r="AK22" s="862">
        <f>AK9</f>
        <v>7080</v>
      </c>
      <c r="AL22" s="945"/>
      <c r="AM22" s="946"/>
      <c r="AN22" s="940">
        <f>AN13</f>
        <v>35707</v>
      </c>
      <c r="AO22" s="886">
        <f>AO13</f>
        <v>33832</v>
      </c>
      <c r="AP22" s="247">
        <f>AP9</f>
        <v>10783.1</v>
      </c>
      <c r="AQ22" s="861">
        <f>AQ9</f>
        <v>7489</v>
      </c>
      <c r="AR22" s="861">
        <f>AR19</f>
        <v>2098</v>
      </c>
      <c r="AS22" s="862">
        <f>AS9</f>
        <v>1506</v>
      </c>
      <c r="AT22" s="894">
        <f>AT9</f>
        <v>51443</v>
      </c>
      <c r="AU22" s="247">
        <f>AU9</f>
        <v>49070</v>
      </c>
      <c r="AV22" s="861">
        <f>SUM(B22:AU22)</f>
        <v>1001310.74</v>
      </c>
      <c r="AW22" s="247">
        <f t="shared" si="0"/>
        <v>966874.74</v>
      </c>
      <c r="AX22" s="861"/>
      <c r="AY22" s="861"/>
      <c r="AZ22" s="894">
        <f t="shared" si="1"/>
        <v>1001310.74</v>
      </c>
      <c r="BA22" s="247">
        <f t="shared" si="2"/>
        <v>966874.74</v>
      </c>
    </row>
    <row r="23" spans="1:53" ht="14.25" x14ac:dyDescent="0.3">
      <c r="A23" s="839" t="s">
        <v>338</v>
      </c>
      <c r="B23" s="861"/>
      <c r="C23" s="861"/>
      <c r="D23" s="861"/>
      <c r="E23" s="861"/>
      <c r="F23" s="861"/>
      <c r="G23" s="861"/>
      <c r="H23" s="861"/>
      <c r="I23" s="861"/>
      <c r="J23" s="861"/>
      <c r="K23" s="861"/>
      <c r="L23" s="861"/>
      <c r="M23" s="861"/>
      <c r="N23" s="861"/>
      <c r="O23" s="861"/>
      <c r="P23" s="861"/>
      <c r="Q23" s="861"/>
      <c r="R23" s="861"/>
      <c r="S23" s="861"/>
      <c r="T23" s="861"/>
      <c r="U23" s="861"/>
      <c r="V23" s="861"/>
      <c r="W23" s="861"/>
      <c r="X23" s="861"/>
      <c r="Y23" s="861"/>
      <c r="Z23" s="861"/>
      <c r="AA23" s="861"/>
      <c r="AB23" s="861"/>
      <c r="AC23" s="861"/>
      <c r="AD23" s="861"/>
      <c r="AE23" s="861"/>
      <c r="AF23" s="861"/>
      <c r="AG23" s="861"/>
      <c r="AH23" s="861"/>
      <c r="AI23" s="861"/>
      <c r="AJ23" s="861"/>
      <c r="AK23" s="862"/>
      <c r="AL23" s="945"/>
      <c r="AM23" s="946"/>
      <c r="AN23" s="940"/>
      <c r="AO23" s="886"/>
      <c r="AP23" s="247"/>
      <c r="AQ23" s="861"/>
      <c r="AR23" s="861"/>
      <c r="AS23" s="862"/>
      <c r="AT23" s="894"/>
      <c r="AU23" s="247"/>
      <c r="AV23" s="861">
        <f t="shared" si="0"/>
        <v>0</v>
      </c>
      <c r="AW23" s="247">
        <f t="shared" si="0"/>
        <v>0</v>
      </c>
      <c r="AX23" s="861"/>
      <c r="AY23" s="861"/>
      <c r="AZ23" s="894">
        <f t="shared" si="1"/>
        <v>0</v>
      </c>
      <c r="BA23" s="247">
        <f t="shared" si="2"/>
        <v>0</v>
      </c>
    </row>
    <row r="24" spans="1:53" x14ac:dyDescent="0.25">
      <c r="A24" s="62" t="s">
        <v>339</v>
      </c>
      <c r="B24" s="861"/>
      <c r="C24" s="861"/>
      <c r="D24" s="861"/>
      <c r="E24" s="861"/>
      <c r="F24" s="861"/>
      <c r="G24" s="861"/>
      <c r="H24" s="861"/>
      <c r="I24" s="861"/>
      <c r="J24" s="861"/>
      <c r="K24" s="861"/>
      <c r="L24" s="861"/>
      <c r="M24" s="861"/>
      <c r="N24" s="861"/>
      <c r="O24" s="861"/>
      <c r="P24" s="861"/>
      <c r="Q24" s="861"/>
      <c r="R24" s="861"/>
      <c r="S24" s="861"/>
      <c r="T24" s="861"/>
      <c r="U24" s="861"/>
      <c r="V24" s="861"/>
      <c r="W24" s="861"/>
      <c r="X24" s="861"/>
      <c r="Y24" s="861"/>
      <c r="Z24" s="861"/>
      <c r="AA24" s="861"/>
      <c r="AB24" s="861"/>
      <c r="AC24" s="861"/>
      <c r="AD24" s="861"/>
      <c r="AE24" s="861"/>
      <c r="AF24" s="861"/>
      <c r="AG24" s="861"/>
      <c r="AH24" s="861"/>
      <c r="AI24" s="861"/>
      <c r="AJ24" s="861"/>
      <c r="AK24" s="862"/>
      <c r="AL24" s="945"/>
      <c r="AM24" s="946"/>
      <c r="AN24" s="940"/>
      <c r="AO24" s="886"/>
      <c r="AP24" s="247"/>
      <c r="AQ24" s="861"/>
      <c r="AR24" s="861"/>
      <c r="AS24" s="862"/>
      <c r="AT24" s="894"/>
      <c r="AU24" s="247"/>
      <c r="AV24" s="861">
        <f t="shared" si="0"/>
        <v>0</v>
      </c>
      <c r="AW24" s="247">
        <f t="shared" si="0"/>
        <v>0</v>
      </c>
      <c r="AX24" s="861"/>
      <c r="AY24" s="861"/>
      <c r="AZ24" s="894">
        <f t="shared" si="1"/>
        <v>0</v>
      </c>
      <c r="BA24" s="247">
        <f t="shared" si="2"/>
        <v>0</v>
      </c>
    </row>
    <row r="25" spans="1:53" x14ac:dyDescent="0.25">
      <c r="A25" s="62" t="s">
        <v>340</v>
      </c>
      <c r="B25" s="861">
        <f>B9</f>
        <v>34436</v>
      </c>
      <c r="C25" s="861">
        <f>C22</f>
        <v>25688</v>
      </c>
      <c r="D25" s="863">
        <f>D22</f>
        <v>7531</v>
      </c>
      <c r="E25" s="863">
        <v>7195</v>
      </c>
      <c r="F25" s="861"/>
      <c r="G25" s="861"/>
      <c r="H25" s="861">
        <f>H22</f>
        <v>56324</v>
      </c>
      <c r="I25" s="861">
        <f>I9</f>
        <v>49525</v>
      </c>
      <c r="J25" s="861">
        <f>J9</f>
        <v>3386</v>
      </c>
      <c r="K25" s="861">
        <f>K9</f>
        <v>2882</v>
      </c>
      <c r="L25" s="861">
        <f>L9</f>
        <v>1374</v>
      </c>
      <c r="M25" s="861">
        <f>M9</f>
        <v>532</v>
      </c>
      <c r="N25" s="861">
        <f>N19</f>
        <v>10486</v>
      </c>
      <c r="O25" s="861">
        <f>O22</f>
        <v>7611</v>
      </c>
      <c r="P25" s="861">
        <v>2671</v>
      </c>
      <c r="Q25" s="861">
        <v>1781</v>
      </c>
      <c r="R25" s="861">
        <f>R22</f>
        <v>0</v>
      </c>
      <c r="S25" s="861">
        <v>57816</v>
      </c>
      <c r="T25" s="861">
        <v>6094</v>
      </c>
      <c r="U25" s="861">
        <v>3209</v>
      </c>
      <c r="V25" s="861">
        <f t="shared" ref="V25:AF25" si="4">V22</f>
        <v>77183</v>
      </c>
      <c r="W25" s="861">
        <f>W9</f>
        <v>53931</v>
      </c>
      <c r="X25" s="861">
        <f t="shared" si="4"/>
        <v>109452</v>
      </c>
      <c r="Y25" s="861">
        <v>78572</v>
      </c>
      <c r="Z25" s="861">
        <f t="shared" si="4"/>
        <v>1732</v>
      </c>
      <c r="AA25" s="861">
        <f>AA9</f>
        <v>1142</v>
      </c>
      <c r="AB25" s="861">
        <f t="shared" si="4"/>
        <v>2843.29</v>
      </c>
      <c r="AC25" s="861">
        <f>AC7</f>
        <v>1837.35</v>
      </c>
      <c r="AD25" s="861">
        <f t="shared" si="4"/>
        <v>9146</v>
      </c>
      <c r="AE25" s="861">
        <v>7254</v>
      </c>
      <c r="AF25" s="861">
        <f t="shared" si="4"/>
        <v>85473</v>
      </c>
      <c r="AG25" s="861">
        <f>AG9</f>
        <v>59685</v>
      </c>
      <c r="AH25" s="861">
        <f>AH9</f>
        <v>20231</v>
      </c>
      <c r="AI25" s="861">
        <f>AI9</f>
        <v>11792</v>
      </c>
      <c r="AJ25" s="861">
        <f>AJ22</f>
        <v>9582</v>
      </c>
      <c r="AK25" s="862">
        <f>AK9</f>
        <v>7080</v>
      </c>
      <c r="AL25" s="945"/>
      <c r="AM25" s="946"/>
      <c r="AN25" s="940">
        <f>AN22</f>
        <v>35707</v>
      </c>
      <c r="AO25" s="886">
        <f>AO22</f>
        <v>33832</v>
      </c>
      <c r="AP25" s="247">
        <f>AP9</f>
        <v>10783.1</v>
      </c>
      <c r="AQ25" s="861">
        <f>AQ9</f>
        <v>7489</v>
      </c>
      <c r="AR25" s="861">
        <f>AR22</f>
        <v>2098</v>
      </c>
      <c r="AS25" s="862">
        <f>AS9</f>
        <v>1506</v>
      </c>
      <c r="AT25" s="894">
        <f>AT9</f>
        <v>51443</v>
      </c>
      <c r="AU25" s="247">
        <f>AU9</f>
        <v>49070</v>
      </c>
      <c r="AV25" s="861">
        <f>SUM(B25:AU25)</f>
        <v>1007404.74</v>
      </c>
      <c r="AW25" s="247">
        <f t="shared" si="0"/>
        <v>972968.74</v>
      </c>
      <c r="AX25" s="861"/>
      <c r="AY25" s="861"/>
      <c r="AZ25" s="894">
        <f t="shared" si="1"/>
        <v>1007404.74</v>
      </c>
      <c r="BA25" s="247">
        <f t="shared" si="2"/>
        <v>972968.74</v>
      </c>
    </row>
    <row r="26" spans="1:53" x14ac:dyDescent="0.25">
      <c r="A26" s="62" t="s">
        <v>341</v>
      </c>
      <c r="B26" s="861"/>
      <c r="C26" s="861"/>
      <c r="D26" s="861"/>
      <c r="E26" s="861"/>
      <c r="F26" s="861"/>
      <c r="G26" s="861"/>
      <c r="H26" s="861"/>
      <c r="I26" s="861"/>
      <c r="J26" s="861"/>
      <c r="K26" s="861"/>
      <c r="L26" s="861"/>
      <c r="M26" s="861"/>
      <c r="N26" s="861"/>
      <c r="O26" s="861"/>
      <c r="P26" s="861"/>
      <c r="Q26" s="861"/>
      <c r="R26" s="861"/>
      <c r="S26" s="861"/>
      <c r="T26" s="861"/>
      <c r="U26" s="861"/>
      <c r="V26" s="861"/>
      <c r="W26" s="861"/>
      <c r="X26" s="861"/>
      <c r="Y26" s="861"/>
      <c r="Z26" s="861"/>
      <c r="AA26" s="861"/>
      <c r="AB26" s="861"/>
      <c r="AC26" s="861"/>
      <c r="AD26" s="861"/>
      <c r="AE26" s="861"/>
      <c r="AF26" s="861"/>
      <c r="AG26" s="861"/>
      <c r="AH26" s="861"/>
      <c r="AI26" s="861"/>
      <c r="AJ26" s="861"/>
      <c r="AK26" s="862"/>
      <c r="AL26" s="945"/>
      <c r="AM26" s="946"/>
      <c r="AN26" s="940"/>
      <c r="AO26" s="886"/>
      <c r="AP26" s="247"/>
      <c r="AQ26" s="861"/>
      <c r="AR26" s="861"/>
      <c r="AS26" s="862"/>
      <c r="AT26" s="894"/>
      <c r="AU26" s="247"/>
      <c r="AV26" s="861">
        <f t="shared" si="0"/>
        <v>0</v>
      </c>
      <c r="AW26" s="247">
        <f t="shared" si="0"/>
        <v>0</v>
      </c>
      <c r="AX26" s="861"/>
      <c r="AY26" s="861"/>
      <c r="AZ26" s="894">
        <f t="shared" si="1"/>
        <v>0</v>
      </c>
      <c r="BA26" s="247">
        <f t="shared" si="2"/>
        <v>0</v>
      </c>
    </row>
    <row r="27" spans="1:53" ht="13.5" x14ac:dyDescent="0.3">
      <c r="A27" s="860" t="s">
        <v>342</v>
      </c>
      <c r="B27" s="861"/>
      <c r="C27" s="861"/>
      <c r="D27" s="861"/>
      <c r="E27" s="861"/>
      <c r="F27" s="861"/>
      <c r="G27" s="861"/>
      <c r="H27" s="861"/>
      <c r="I27" s="861"/>
      <c r="J27" s="861"/>
      <c r="K27" s="861"/>
      <c r="L27" s="861"/>
      <c r="M27" s="861"/>
      <c r="N27" s="861"/>
      <c r="O27" s="861"/>
      <c r="P27" s="861"/>
      <c r="Q27" s="861"/>
      <c r="R27" s="861"/>
      <c r="S27" s="861"/>
      <c r="T27" s="861"/>
      <c r="U27" s="861"/>
      <c r="V27" s="861"/>
      <c r="W27" s="861"/>
      <c r="X27" s="861"/>
      <c r="Y27" s="861"/>
      <c r="Z27" s="861"/>
      <c r="AA27" s="861"/>
      <c r="AB27" s="861"/>
      <c r="AC27" s="861"/>
      <c r="AD27" s="861"/>
      <c r="AE27" s="861"/>
      <c r="AF27" s="861"/>
      <c r="AG27" s="861"/>
      <c r="AH27" s="861"/>
      <c r="AI27" s="861"/>
      <c r="AJ27" s="861"/>
      <c r="AK27" s="862"/>
      <c r="AL27" s="945"/>
      <c r="AM27" s="946"/>
      <c r="AN27" s="940"/>
      <c r="AO27" s="886"/>
      <c r="AP27" s="247"/>
      <c r="AQ27" s="861"/>
      <c r="AR27" s="861"/>
      <c r="AS27" s="862"/>
      <c r="AT27" s="894"/>
      <c r="AU27" s="247"/>
      <c r="AV27" s="861">
        <f t="shared" si="0"/>
        <v>0</v>
      </c>
      <c r="AW27" s="247">
        <f t="shared" si="0"/>
        <v>0</v>
      </c>
      <c r="AX27" s="861"/>
      <c r="AY27" s="861"/>
      <c r="AZ27" s="894"/>
      <c r="BA27" s="247">
        <f t="shared" si="2"/>
        <v>0</v>
      </c>
    </row>
    <row r="28" spans="1:53" x14ac:dyDescent="0.25">
      <c r="A28" s="62" t="s">
        <v>343</v>
      </c>
      <c r="B28" s="861"/>
      <c r="C28" s="861"/>
      <c r="D28" s="861"/>
      <c r="E28" s="861"/>
      <c r="F28" s="861"/>
      <c r="G28" s="861"/>
      <c r="H28" s="861"/>
      <c r="I28" s="861"/>
      <c r="J28" s="861"/>
      <c r="K28" s="861"/>
      <c r="L28" s="861"/>
      <c r="M28" s="861"/>
      <c r="N28" s="861"/>
      <c r="O28" s="861"/>
      <c r="P28" s="861"/>
      <c r="Q28" s="861"/>
      <c r="R28" s="861"/>
      <c r="S28" s="861"/>
      <c r="T28" s="861"/>
      <c r="U28" s="861"/>
      <c r="V28" s="861"/>
      <c r="W28" s="861"/>
      <c r="X28" s="861"/>
      <c r="Y28" s="861"/>
      <c r="Z28" s="861"/>
      <c r="AA28" s="861"/>
      <c r="AB28" s="861"/>
      <c r="AC28" s="861"/>
      <c r="AD28" s="861"/>
      <c r="AE28" s="861"/>
      <c r="AF28" s="861"/>
      <c r="AG28" s="861"/>
      <c r="AH28" s="861"/>
      <c r="AI28" s="861"/>
      <c r="AJ28" s="861"/>
      <c r="AK28" s="862"/>
      <c r="AL28" s="945"/>
      <c r="AM28" s="946"/>
      <c r="AN28" s="940"/>
      <c r="AO28" s="886"/>
      <c r="AP28" s="247"/>
      <c r="AQ28" s="861"/>
      <c r="AR28" s="861"/>
      <c r="AS28" s="862"/>
      <c r="AT28" s="894"/>
      <c r="AU28" s="247"/>
      <c r="AV28" s="861">
        <f t="shared" si="0"/>
        <v>0</v>
      </c>
      <c r="AW28" s="247">
        <f t="shared" si="0"/>
        <v>0</v>
      </c>
      <c r="AX28" s="861"/>
      <c r="AY28" s="861"/>
      <c r="AZ28" s="894">
        <f t="shared" si="1"/>
        <v>0</v>
      </c>
      <c r="BA28" s="247">
        <f t="shared" si="2"/>
        <v>0</v>
      </c>
    </row>
    <row r="29" spans="1:53" x14ac:dyDescent="0.25">
      <c r="A29" s="62" t="s">
        <v>340</v>
      </c>
      <c r="B29" s="861"/>
      <c r="C29" s="861"/>
      <c r="D29" s="861"/>
      <c r="E29" s="861"/>
      <c r="F29" s="861"/>
      <c r="G29" s="861"/>
      <c r="H29" s="861"/>
      <c r="I29" s="861"/>
      <c r="J29" s="861"/>
      <c r="K29" s="861"/>
      <c r="L29" s="861"/>
      <c r="M29" s="861"/>
      <c r="N29" s="861"/>
      <c r="O29" s="861"/>
      <c r="P29" s="861"/>
      <c r="Q29" s="861"/>
      <c r="R29" s="861"/>
      <c r="S29" s="861"/>
      <c r="T29" s="861"/>
      <c r="U29" s="861"/>
      <c r="V29" s="861"/>
      <c r="W29" s="861"/>
      <c r="X29" s="861"/>
      <c r="Y29" s="861"/>
      <c r="Z29" s="861"/>
      <c r="AA29" s="861"/>
      <c r="AB29" s="861"/>
      <c r="AC29" s="861"/>
      <c r="AD29" s="861"/>
      <c r="AE29" s="861"/>
      <c r="AF29" s="861"/>
      <c r="AG29" s="861"/>
      <c r="AH29" s="861"/>
      <c r="AI29" s="861"/>
      <c r="AJ29" s="861"/>
      <c r="AK29" s="862"/>
      <c r="AL29" s="945"/>
      <c r="AM29" s="946"/>
      <c r="AN29" s="940"/>
      <c r="AO29" s="886"/>
      <c r="AP29" s="247"/>
      <c r="AQ29" s="861"/>
      <c r="AR29" s="861"/>
      <c r="AS29" s="862"/>
      <c r="AT29" s="894"/>
      <c r="AU29" s="247"/>
      <c r="AV29" s="861">
        <f t="shared" si="0"/>
        <v>0</v>
      </c>
      <c r="AW29" s="247">
        <f t="shared" si="0"/>
        <v>0</v>
      </c>
      <c r="AX29" s="861"/>
      <c r="AY29" s="861"/>
      <c r="AZ29" s="894">
        <f t="shared" si="1"/>
        <v>0</v>
      </c>
      <c r="BA29" s="247">
        <f t="shared" si="2"/>
        <v>0</v>
      </c>
    </row>
    <row r="30" spans="1:53" x14ac:dyDescent="0.25">
      <c r="A30" s="62" t="s">
        <v>344</v>
      </c>
      <c r="B30" s="861"/>
      <c r="C30" s="861"/>
      <c r="D30" s="861"/>
      <c r="E30" s="861"/>
      <c r="F30" s="861"/>
      <c r="G30" s="861"/>
      <c r="H30" s="861"/>
      <c r="I30" s="861"/>
      <c r="J30" s="861"/>
      <c r="K30" s="861"/>
      <c r="L30" s="861"/>
      <c r="M30" s="861"/>
      <c r="N30" s="861"/>
      <c r="O30" s="861"/>
      <c r="P30" s="861"/>
      <c r="Q30" s="861"/>
      <c r="R30" s="861"/>
      <c r="S30" s="861"/>
      <c r="T30" s="861"/>
      <c r="U30" s="861"/>
      <c r="V30" s="861"/>
      <c r="W30" s="861"/>
      <c r="X30" s="861"/>
      <c r="Y30" s="861"/>
      <c r="Z30" s="861"/>
      <c r="AA30" s="861"/>
      <c r="AB30" s="861"/>
      <c r="AC30" s="861"/>
      <c r="AD30" s="861"/>
      <c r="AE30" s="861"/>
      <c r="AF30" s="861"/>
      <c r="AG30" s="861"/>
      <c r="AH30" s="861"/>
      <c r="AI30" s="861"/>
      <c r="AJ30" s="861"/>
      <c r="AK30" s="862"/>
      <c r="AL30" s="945"/>
      <c r="AM30" s="946"/>
      <c r="AN30" s="940"/>
      <c r="AO30" s="886"/>
      <c r="AP30" s="247"/>
      <c r="AQ30" s="861"/>
      <c r="AR30" s="861"/>
      <c r="AS30" s="862"/>
      <c r="AT30" s="894"/>
      <c r="AU30" s="247"/>
      <c r="AV30" s="861">
        <f t="shared" si="0"/>
        <v>0</v>
      </c>
      <c r="AW30" s="247">
        <f t="shared" si="0"/>
        <v>0</v>
      </c>
      <c r="AX30" s="861"/>
      <c r="AY30" s="861"/>
      <c r="AZ30" s="894">
        <f t="shared" si="1"/>
        <v>0</v>
      </c>
      <c r="BA30" s="247">
        <f t="shared" si="2"/>
        <v>0</v>
      </c>
    </row>
    <row r="31" spans="1:53" ht="13.5" x14ac:dyDescent="0.3">
      <c r="A31" s="860" t="s">
        <v>345</v>
      </c>
      <c r="B31" s="861"/>
      <c r="C31" s="861"/>
      <c r="D31" s="861"/>
      <c r="E31" s="861"/>
      <c r="F31" s="861"/>
      <c r="G31" s="861"/>
      <c r="H31" s="861"/>
      <c r="I31" s="861"/>
      <c r="J31" s="861"/>
      <c r="K31" s="861"/>
      <c r="L31" s="861"/>
      <c r="M31" s="861"/>
      <c r="N31" s="861"/>
      <c r="O31" s="861"/>
      <c r="P31" s="861"/>
      <c r="Q31" s="861"/>
      <c r="R31" s="861"/>
      <c r="S31" s="861"/>
      <c r="T31" s="861"/>
      <c r="U31" s="861"/>
      <c r="V31" s="861"/>
      <c r="W31" s="861"/>
      <c r="X31" s="861"/>
      <c r="Y31" s="861"/>
      <c r="Z31" s="861"/>
      <c r="AA31" s="861"/>
      <c r="AB31" s="861"/>
      <c r="AC31" s="861"/>
      <c r="AD31" s="861"/>
      <c r="AE31" s="861"/>
      <c r="AF31" s="861"/>
      <c r="AG31" s="861"/>
      <c r="AH31" s="861"/>
      <c r="AI31" s="861"/>
      <c r="AJ31" s="861"/>
      <c r="AK31" s="862"/>
      <c r="AL31" s="945"/>
      <c r="AM31" s="946"/>
      <c r="AN31" s="940"/>
      <c r="AO31" s="886"/>
      <c r="AP31" s="247"/>
      <c r="AQ31" s="861"/>
      <c r="AR31" s="861"/>
      <c r="AS31" s="862"/>
      <c r="AT31" s="894"/>
      <c r="AU31" s="247"/>
      <c r="AV31" s="861">
        <f t="shared" si="0"/>
        <v>0</v>
      </c>
      <c r="AW31" s="247">
        <f t="shared" si="0"/>
        <v>0</v>
      </c>
      <c r="AX31" s="861"/>
      <c r="AY31" s="861"/>
      <c r="AZ31" s="894"/>
      <c r="BA31" s="247">
        <f t="shared" si="2"/>
        <v>0</v>
      </c>
    </row>
    <row r="32" spans="1:53" ht="14.25" x14ac:dyDescent="0.3">
      <c r="A32" s="839" t="s">
        <v>54</v>
      </c>
      <c r="B32" s="861">
        <f>B25</f>
        <v>34436</v>
      </c>
      <c r="C32" s="861">
        <f>C25</f>
        <v>25688</v>
      </c>
      <c r="D32" s="863">
        <f>D25</f>
        <v>7531</v>
      </c>
      <c r="E32" s="863">
        <v>7195</v>
      </c>
      <c r="F32" s="861"/>
      <c r="G32" s="861"/>
      <c r="H32" s="861">
        <f>H25</f>
        <v>56324</v>
      </c>
      <c r="I32" s="861">
        <f>I25</f>
        <v>49525</v>
      </c>
      <c r="J32" s="861">
        <f>J9</f>
        <v>3386</v>
      </c>
      <c r="K32" s="861">
        <f>K9</f>
        <v>2882</v>
      </c>
      <c r="L32" s="861">
        <f>L9</f>
        <v>1374</v>
      </c>
      <c r="M32" s="861">
        <f>M9</f>
        <v>532</v>
      </c>
      <c r="N32" s="861">
        <f>N25</f>
        <v>10486</v>
      </c>
      <c r="O32" s="861">
        <f>O25</f>
        <v>7611</v>
      </c>
      <c r="P32" s="861">
        <v>2671</v>
      </c>
      <c r="Q32" s="861">
        <v>1781</v>
      </c>
      <c r="R32" s="861">
        <f>R25</f>
        <v>0</v>
      </c>
      <c r="S32" s="861">
        <v>57816</v>
      </c>
      <c r="T32" s="861">
        <v>6094</v>
      </c>
      <c r="U32" s="861">
        <v>3209</v>
      </c>
      <c r="V32" s="861">
        <f t="shared" ref="V32:AF32" si="5">V25</f>
        <v>77183</v>
      </c>
      <c r="W32" s="861">
        <f>W25</f>
        <v>53931</v>
      </c>
      <c r="X32" s="861">
        <f t="shared" si="5"/>
        <v>109452</v>
      </c>
      <c r="Y32" s="861">
        <v>78572</v>
      </c>
      <c r="Z32" s="861">
        <f t="shared" si="5"/>
        <v>1732</v>
      </c>
      <c r="AA32" s="861">
        <f>AA13</f>
        <v>1142</v>
      </c>
      <c r="AB32" s="861">
        <f t="shared" si="5"/>
        <v>2843.29</v>
      </c>
      <c r="AC32" s="861">
        <f>AC7</f>
        <v>1837.35</v>
      </c>
      <c r="AD32" s="861">
        <f t="shared" si="5"/>
        <v>9146</v>
      </c>
      <c r="AE32" s="861">
        <v>7254</v>
      </c>
      <c r="AF32" s="861">
        <f t="shared" si="5"/>
        <v>85473</v>
      </c>
      <c r="AG32" s="861">
        <f>AG9</f>
        <v>59685</v>
      </c>
      <c r="AH32" s="861">
        <f>AH9</f>
        <v>20231</v>
      </c>
      <c r="AI32" s="861">
        <f>AI13</f>
        <v>11792</v>
      </c>
      <c r="AJ32" s="861">
        <f>AJ25</f>
        <v>9582</v>
      </c>
      <c r="AK32" s="862">
        <f>AK9</f>
        <v>7080</v>
      </c>
      <c r="AL32" s="945"/>
      <c r="AM32" s="946"/>
      <c r="AN32" s="940">
        <f>AN25</f>
        <v>35707</v>
      </c>
      <c r="AO32" s="886">
        <f>AO25</f>
        <v>33832</v>
      </c>
      <c r="AP32" s="247">
        <f>AP9</f>
        <v>10783.1</v>
      </c>
      <c r="AQ32" s="861">
        <f>AQ9</f>
        <v>7489</v>
      </c>
      <c r="AR32" s="861">
        <f>AR25</f>
        <v>2098</v>
      </c>
      <c r="AS32" s="862">
        <f>AS13</f>
        <v>1506</v>
      </c>
      <c r="AT32" s="894">
        <f>AT9</f>
        <v>51443</v>
      </c>
      <c r="AU32" s="247">
        <f>AU13</f>
        <v>49070</v>
      </c>
      <c r="AV32" s="861">
        <f t="shared" si="0"/>
        <v>958334.74</v>
      </c>
      <c r="AW32" s="247">
        <f t="shared" si="0"/>
        <v>972968.74</v>
      </c>
      <c r="AX32" s="861"/>
      <c r="AY32" s="861"/>
      <c r="AZ32" s="894">
        <f t="shared" si="1"/>
        <v>958334.74</v>
      </c>
      <c r="BA32" s="247">
        <f t="shared" si="2"/>
        <v>972968.74</v>
      </c>
    </row>
    <row r="33" spans="1:53" ht="14.25" x14ac:dyDescent="0.3">
      <c r="A33" s="839" t="s">
        <v>346</v>
      </c>
      <c r="B33" s="861"/>
      <c r="C33" s="861"/>
      <c r="D33" s="861"/>
      <c r="E33" s="861"/>
      <c r="F33" s="861"/>
      <c r="G33" s="861"/>
      <c r="H33" s="861"/>
      <c r="I33" s="861"/>
      <c r="J33" s="861"/>
      <c r="K33" s="861"/>
      <c r="L33" s="861"/>
      <c r="M33" s="861"/>
      <c r="N33" s="861"/>
      <c r="O33" s="861"/>
      <c r="P33" s="861"/>
      <c r="Q33" s="861"/>
      <c r="R33" s="861"/>
      <c r="S33" s="861"/>
      <c r="T33" s="861"/>
      <c r="U33" s="861"/>
      <c r="V33" s="861"/>
      <c r="W33" s="861"/>
      <c r="X33" s="861"/>
      <c r="Y33" s="861"/>
      <c r="Z33" s="861"/>
      <c r="AA33" s="861"/>
      <c r="AB33" s="861"/>
      <c r="AC33" s="861"/>
      <c r="AD33" s="861"/>
      <c r="AE33" s="861"/>
      <c r="AF33" s="861"/>
      <c r="AG33" s="861"/>
      <c r="AH33" s="861"/>
      <c r="AI33" s="861"/>
      <c r="AJ33" s="861"/>
      <c r="AK33" s="862"/>
      <c r="AL33" s="945"/>
      <c r="AM33" s="946"/>
      <c r="AN33" s="940"/>
      <c r="AO33" s="886"/>
      <c r="AP33" s="247"/>
      <c r="AQ33" s="861"/>
      <c r="AR33" s="861"/>
      <c r="AS33" s="862"/>
      <c r="AT33" s="894"/>
      <c r="AU33" s="247"/>
      <c r="AV33" s="861">
        <f t="shared" si="0"/>
        <v>0</v>
      </c>
      <c r="AW33" s="247">
        <f t="shared" si="0"/>
        <v>0</v>
      </c>
      <c r="AX33" s="861"/>
      <c r="AY33" s="861"/>
      <c r="AZ33" s="894">
        <f t="shared" si="1"/>
        <v>0</v>
      </c>
      <c r="BA33" s="247">
        <f t="shared" si="2"/>
        <v>0</v>
      </c>
    </row>
    <row r="34" spans="1:53" x14ac:dyDescent="0.25">
      <c r="A34" s="62" t="s">
        <v>347</v>
      </c>
      <c r="B34" s="861">
        <v>311</v>
      </c>
      <c r="C34" s="861">
        <v>320</v>
      </c>
      <c r="D34" s="861"/>
      <c r="E34" s="861"/>
      <c r="F34" s="861"/>
      <c r="G34" s="861"/>
      <c r="H34" s="861">
        <v>6367</v>
      </c>
      <c r="I34" s="861">
        <v>5230</v>
      </c>
      <c r="J34" s="861"/>
      <c r="K34" s="861"/>
      <c r="L34" s="861"/>
      <c r="M34" s="861"/>
      <c r="N34" s="861">
        <v>556</v>
      </c>
      <c r="O34" s="861">
        <v>236</v>
      </c>
      <c r="P34" s="861">
        <v>80</v>
      </c>
      <c r="Q34" s="861">
        <v>38</v>
      </c>
      <c r="R34" s="861"/>
      <c r="S34" s="861">
        <v>3458</v>
      </c>
      <c r="T34" s="861">
        <v>63</v>
      </c>
      <c r="U34" s="861">
        <v>1</v>
      </c>
      <c r="V34" s="861">
        <v>23934</v>
      </c>
      <c r="W34" s="861">
        <v>16508</v>
      </c>
      <c r="X34" s="861">
        <v>994</v>
      </c>
      <c r="Y34" s="861">
        <v>1063</v>
      </c>
      <c r="Z34" s="861"/>
      <c r="AA34" s="861"/>
      <c r="AB34" s="861">
        <v>224.22</v>
      </c>
      <c r="AC34" s="861">
        <v>86.7</v>
      </c>
      <c r="AD34" s="861">
        <v>633</v>
      </c>
      <c r="AE34" s="861">
        <v>574</v>
      </c>
      <c r="AF34" s="861">
        <v>1888</v>
      </c>
      <c r="AG34" s="861">
        <v>1650</v>
      </c>
      <c r="AH34" s="861">
        <v>843</v>
      </c>
      <c r="AI34" s="861">
        <v>236</v>
      </c>
      <c r="AJ34" s="861">
        <v>424</v>
      </c>
      <c r="AK34" s="862">
        <v>365</v>
      </c>
      <c r="AL34" s="945"/>
      <c r="AM34" s="946"/>
      <c r="AN34" s="940">
        <v>1330</v>
      </c>
      <c r="AO34" s="886">
        <v>4445</v>
      </c>
      <c r="AP34" s="247">
        <v>309.39999999999998</v>
      </c>
      <c r="AQ34" s="861">
        <v>217</v>
      </c>
      <c r="AR34" s="861">
        <v>440</v>
      </c>
      <c r="AS34" s="862">
        <v>359</v>
      </c>
      <c r="AT34" s="894"/>
      <c r="AU34" s="247"/>
      <c r="AV34" s="861">
        <f t="shared" si="0"/>
        <v>73183.319999999992</v>
      </c>
      <c r="AW34" s="247">
        <f t="shared" si="0"/>
        <v>72872.319999999992</v>
      </c>
      <c r="AX34" s="861"/>
      <c r="AY34" s="861"/>
      <c r="AZ34" s="894"/>
      <c r="BA34" s="247">
        <f t="shared" si="2"/>
        <v>72872.319999999992</v>
      </c>
    </row>
    <row r="35" spans="1:53" x14ac:dyDescent="0.25">
      <c r="A35" s="62" t="s">
        <v>348</v>
      </c>
      <c r="B35" s="864"/>
      <c r="C35" s="864"/>
      <c r="D35" s="864">
        <v>0</v>
      </c>
      <c r="E35" s="864">
        <v>5</v>
      </c>
      <c r="F35" s="864">
        <v>0</v>
      </c>
      <c r="G35" s="864"/>
      <c r="H35" s="864"/>
      <c r="I35" s="864"/>
      <c r="J35" s="864">
        <v>0</v>
      </c>
      <c r="K35" s="864"/>
      <c r="L35" s="864">
        <v>0</v>
      </c>
      <c r="M35" s="864"/>
      <c r="N35" s="864">
        <v>0</v>
      </c>
      <c r="O35" s="864"/>
      <c r="P35" s="864"/>
      <c r="Q35" s="864"/>
      <c r="R35" s="864"/>
      <c r="S35" s="864"/>
      <c r="T35" s="864"/>
      <c r="U35" s="864"/>
      <c r="V35" s="864"/>
      <c r="W35" s="864"/>
      <c r="X35" s="864"/>
      <c r="Y35" s="864"/>
      <c r="Z35" s="864">
        <v>0</v>
      </c>
      <c r="AA35" s="864"/>
      <c r="AB35" s="864"/>
      <c r="AC35" s="864"/>
      <c r="AD35" s="864"/>
      <c r="AE35" s="864"/>
      <c r="AF35" s="864"/>
      <c r="AG35" s="864"/>
      <c r="AH35" s="864"/>
      <c r="AI35" s="864"/>
      <c r="AJ35" s="864"/>
      <c r="AK35" s="865"/>
      <c r="AL35" s="890">
        <v>0</v>
      </c>
      <c r="AM35" s="864"/>
      <c r="AN35" s="864"/>
      <c r="AO35" s="865"/>
      <c r="AP35" s="890"/>
      <c r="AQ35" s="864"/>
      <c r="AR35" s="864"/>
      <c r="AS35" s="865"/>
      <c r="AT35" s="894">
        <v>0</v>
      </c>
      <c r="AU35" s="247"/>
      <c r="AV35" s="861">
        <f t="shared" si="0"/>
        <v>5</v>
      </c>
      <c r="AW35" s="247">
        <f t="shared" si="0"/>
        <v>5</v>
      </c>
      <c r="AX35" s="864"/>
      <c r="AY35" s="864"/>
      <c r="AZ35" s="894"/>
      <c r="BA35" s="247">
        <f t="shared" si="2"/>
        <v>5</v>
      </c>
    </row>
    <row r="36" spans="1:53" x14ac:dyDescent="0.25">
      <c r="A36" s="62" t="s">
        <v>349</v>
      </c>
      <c r="B36" s="864"/>
      <c r="C36" s="864"/>
      <c r="D36" s="864"/>
      <c r="E36" s="864"/>
      <c r="F36" s="864"/>
      <c r="G36" s="864"/>
      <c r="H36" s="864"/>
      <c r="I36" s="864"/>
      <c r="J36" s="864"/>
      <c r="K36" s="864"/>
      <c r="L36" s="864"/>
      <c r="M36" s="864"/>
      <c r="N36" s="864"/>
      <c r="O36" s="864"/>
      <c r="P36" s="864"/>
      <c r="Q36" s="864"/>
      <c r="R36" s="864"/>
      <c r="S36" s="864"/>
      <c r="T36" s="864"/>
      <c r="U36" s="864"/>
      <c r="V36" s="864"/>
      <c r="W36" s="864"/>
      <c r="X36" s="864"/>
      <c r="Y36" s="864"/>
      <c r="Z36" s="864"/>
      <c r="AA36" s="864"/>
      <c r="AB36" s="864"/>
      <c r="AC36" s="864"/>
      <c r="AD36" s="864"/>
      <c r="AE36" s="864"/>
      <c r="AF36" s="864"/>
      <c r="AG36" s="864"/>
      <c r="AH36" s="864"/>
      <c r="AI36" s="864"/>
      <c r="AJ36" s="864"/>
      <c r="AK36" s="865"/>
      <c r="AL36" s="947"/>
      <c r="AM36" s="948"/>
      <c r="AN36" s="941"/>
      <c r="AO36" s="887"/>
      <c r="AP36" s="890"/>
      <c r="AQ36" s="864"/>
      <c r="AR36" s="864"/>
      <c r="AS36" s="865"/>
      <c r="AT36" s="894"/>
      <c r="AU36" s="247"/>
      <c r="AV36" s="861">
        <f t="shared" si="0"/>
        <v>0</v>
      </c>
      <c r="AW36" s="247">
        <f t="shared" si="0"/>
        <v>0</v>
      </c>
      <c r="AX36" s="864"/>
      <c r="AY36" s="864"/>
      <c r="AZ36" s="894"/>
      <c r="BA36" s="247">
        <f t="shared" si="2"/>
        <v>0</v>
      </c>
    </row>
    <row r="37" spans="1:53" x14ac:dyDescent="0.25">
      <c r="A37" s="173" t="s">
        <v>350</v>
      </c>
      <c r="B37" s="864"/>
      <c r="C37" s="864"/>
      <c r="D37" s="864"/>
      <c r="E37" s="864"/>
      <c r="F37" s="864"/>
      <c r="G37" s="864"/>
      <c r="H37" s="864"/>
      <c r="I37" s="864"/>
      <c r="J37" s="864"/>
      <c r="K37" s="864"/>
      <c r="L37" s="864"/>
      <c r="M37" s="864"/>
      <c r="N37" s="864"/>
      <c r="O37" s="864"/>
      <c r="P37" s="864"/>
      <c r="Q37" s="864"/>
      <c r="R37" s="864"/>
      <c r="S37" s="864"/>
      <c r="T37" s="864"/>
      <c r="U37" s="864"/>
      <c r="V37" s="864"/>
      <c r="W37" s="864"/>
      <c r="X37" s="864"/>
      <c r="Y37" s="864"/>
      <c r="Z37" s="864"/>
      <c r="AA37" s="864"/>
      <c r="AB37" s="864"/>
      <c r="AC37" s="864"/>
      <c r="AD37" s="864"/>
      <c r="AE37" s="864"/>
      <c r="AF37" s="864"/>
      <c r="AG37" s="864"/>
      <c r="AH37" s="864"/>
      <c r="AI37" s="864"/>
      <c r="AJ37" s="864"/>
      <c r="AK37" s="865"/>
      <c r="AL37" s="947"/>
      <c r="AM37" s="948"/>
      <c r="AN37" s="941"/>
      <c r="AO37" s="887"/>
      <c r="AP37" s="890"/>
      <c r="AQ37" s="864"/>
      <c r="AR37" s="864"/>
      <c r="AS37" s="865"/>
      <c r="AT37" s="894"/>
      <c r="AU37" s="247"/>
      <c r="AV37" s="861">
        <f t="shared" si="0"/>
        <v>0</v>
      </c>
      <c r="AW37" s="247">
        <f t="shared" si="0"/>
        <v>0</v>
      </c>
      <c r="AX37" s="864"/>
      <c r="AY37" s="864"/>
      <c r="AZ37" s="894"/>
      <c r="BA37" s="247">
        <f t="shared" si="2"/>
        <v>0</v>
      </c>
    </row>
    <row r="38" spans="1:53" x14ac:dyDescent="0.25">
      <c r="A38" s="173" t="s">
        <v>351</v>
      </c>
      <c r="B38" s="864">
        <v>34125</v>
      </c>
      <c r="C38" s="864">
        <v>25368</v>
      </c>
      <c r="D38" s="866">
        <v>7531</v>
      </c>
      <c r="E38" s="866">
        <v>7190</v>
      </c>
      <c r="F38" s="864"/>
      <c r="G38" s="864"/>
      <c r="H38" s="864">
        <v>49957</v>
      </c>
      <c r="I38" s="864">
        <v>44295</v>
      </c>
      <c r="J38" s="864">
        <v>3386</v>
      </c>
      <c r="K38" s="864">
        <f>K13</f>
        <v>2882</v>
      </c>
      <c r="L38" s="864">
        <v>1374</v>
      </c>
      <c r="M38" s="864">
        <f>M22</f>
        <v>532</v>
      </c>
      <c r="N38" s="864">
        <v>9930</v>
      </c>
      <c r="O38" s="864">
        <v>7375</v>
      </c>
      <c r="P38" s="864">
        <v>2591</v>
      </c>
      <c r="Q38" s="864">
        <v>1743</v>
      </c>
      <c r="R38" s="864"/>
      <c r="S38" s="864">
        <v>54358</v>
      </c>
      <c r="T38" s="864">
        <v>6031</v>
      </c>
      <c r="U38" s="864">
        <v>3208</v>
      </c>
      <c r="V38" s="864">
        <v>53249</v>
      </c>
      <c r="W38" s="864">
        <v>37423</v>
      </c>
      <c r="X38" s="864">
        <v>108458</v>
      </c>
      <c r="Y38" s="864">
        <v>77509</v>
      </c>
      <c r="Z38" s="864">
        <v>1732</v>
      </c>
      <c r="AA38" s="864">
        <f>AA19</f>
        <v>1142</v>
      </c>
      <c r="AB38" s="864">
        <v>2619.0700000000002</v>
      </c>
      <c r="AC38" s="864">
        <v>1750.65</v>
      </c>
      <c r="AD38" s="864">
        <v>8513</v>
      </c>
      <c r="AE38" s="864">
        <v>6680</v>
      </c>
      <c r="AF38" s="864">
        <v>83585</v>
      </c>
      <c r="AG38" s="864">
        <v>58035</v>
      </c>
      <c r="AH38" s="864">
        <v>19389</v>
      </c>
      <c r="AI38" s="864">
        <v>11556</v>
      </c>
      <c r="AJ38" s="864">
        <v>9158</v>
      </c>
      <c r="AK38" s="865">
        <v>6715</v>
      </c>
      <c r="AL38" s="947"/>
      <c r="AM38" s="948"/>
      <c r="AN38" s="941">
        <v>34377</v>
      </c>
      <c r="AO38" s="887">
        <v>29388</v>
      </c>
      <c r="AP38" s="890">
        <v>10473.700000000001</v>
      </c>
      <c r="AQ38" s="864">
        <v>7271</v>
      </c>
      <c r="AR38" s="864">
        <v>1658</v>
      </c>
      <c r="AS38" s="865">
        <v>1147</v>
      </c>
      <c r="AT38" s="894">
        <f>AT32</f>
        <v>51443</v>
      </c>
      <c r="AU38" s="247">
        <f>AU19</f>
        <v>49070</v>
      </c>
      <c r="AV38" s="861">
        <f t="shared" si="0"/>
        <v>885147.41999999993</v>
      </c>
      <c r="AW38" s="247">
        <f t="shared" si="0"/>
        <v>900092.41999999993</v>
      </c>
      <c r="AX38" s="864"/>
      <c r="AY38" s="864"/>
      <c r="AZ38" s="894"/>
      <c r="BA38" s="247">
        <f t="shared" si="2"/>
        <v>900092.41999999993</v>
      </c>
    </row>
    <row r="39" spans="1:53" x14ac:dyDescent="0.25">
      <c r="A39" s="62" t="s">
        <v>348</v>
      </c>
      <c r="B39" s="829"/>
      <c r="C39" s="829"/>
      <c r="D39" s="829"/>
      <c r="E39" s="829"/>
      <c r="F39" s="829">
        <v>0</v>
      </c>
      <c r="G39" s="829"/>
      <c r="H39" s="829"/>
      <c r="I39" s="829"/>
      <c r="J39" s="829"/>
      <c r="K39" s="829"/>
      <c r="L39" s="829"/>
      <c r="M39" s="829"/>
      <c r="N39" s="829"/>
      <c r="O39" s="829"/>
      <c r="P39" s="829"/>
      <c r="Q39" s="829"/>
      <c r="R39" s="829"/>
      <c r="S39" s="829"/>
      <c r="T39" s="829"/>
      <c r="U39" s="829"/>
      <c r="V39" s="829"/>
      <c r="W39" s="829"/>
      <c r="X39" s="829"/>
      <c r="Y39" s="829"/>
      <c r="Z39" s="829"/>
      <c r="AA39" s="829"/>
      <c r="AB39" s="829"/>
      <c r="AC39" s="829"/>
      <c r="AD39" s="829"/>
      <c r="AE39" s="829"/>
      <c r="AF39" s="829"/>
      <c r="AG39" s="829"/>
      <c r="AH39" s="829"/>
      <c r="AI39" s="829"/>
      <c r="AJ39" s="829"/>
      <c r="AL39" s="891">
        <v>0</v>
      </c>
      <c r="AM39" s="829"/>
      <c r="AN39" s="829"/>
      <c r="AP39" s="891"/>
      <c r="AQ39" s="829"/>
      <c r="AR39" s="829"/>
      <c r="AT39" s="894"/>
      <c r="AU39" s="247"/>
      <c r="AV39" s="861">
        <f t="shared" si="0"/>
        <v>0</v>
      </c>
      <c r="AW39" s="247">
        <f t="shared" si="0"/>
        <v>0</v>
      </c>
      <c r="AX39" s="829"/>
      <c r="AY39" s="829"/>
      <c r="AZ39" s="894"/>
      <c r="BA39" s="247">
        <f t="shared" si="2"/>
        <v>0</v>
      </c>
    </row>
    <row r="40" spans="1:53" x14ac:dyDescent="0.25">
      <c r="A40" s="62" t="s">
        <v>349</v>
      </c>
      <c r="B40" s="829"/>
      <c r="C40" s="829"/>
      <c r="D40" s="867"/>
      <c r="E40" s="867"/>
      <c r="F40" s="829"/>
      <c r="G40" s="829"/>
      <c r="H40" s="829"/>
      <c r="I40" s="829"/>
      <c r="J40" s="829"/>
      <c r="K40" s="829"/>
      <c r="L40" s="829"/>
      <c r="M40" s="829"/>
      <c r="N40" s="829"/>
      <c r="O40" s="829"/>
      <c r="P40" s="829"/>
      <c r="Q40" s="829"/>
      <c r="R40" s="829"/>
      <c r="S40" s="829"/>
      <c r="T40" s="829"/>
      <c r="U40" s="829"/>
      <c r="V40" s="829"/>
      <c r="W40" s="829"/>
      <c r="X40" s="829"/>
      <c r="Y40" s="829"/>
      <c r="Z40" s="829"/>
      <c r="AA40" s="829"/>
      <c r="AB40" s="829"/>
      <c r="AC40" s="829"/>
      <c r="AD40" s="829"/>
      <c r="AE40" s="829"/>
      <c r="AF40" s="829"/>
      <c r="AG40" s="829"/>
      <c r="AH40" s="829"/>
      <c r="AI40" s="829"/>
      <c r="AJ40" s="829"/>
      <c r="AL40" s="949"/>
      <c r="AM40" s="950"/>
      <c r="AN40" s="942"/>
      <c r="AO40" s="888"/>
      <c r="AP40" s="891"/>
      <c r="AQ40" s="829"/>
      <c r="AR40" s="829"/>
      <c r="AT40" s="894"/>
      <c r="AU40" s="247"/>
      <c r="AV40" s="861">
        <f t="shared" si="0"/>
        <v>0</v>
      </c>
      <c r="AW40" s="247">
        <f t="shared" si="0"/>
        <v>0</v>
      </c>
      <c r="AX40" s="829"/>
      <c r="AY40" s="829"/>
      <c r="AZ40" s="894"/>
      <c r="BA40" s="247">
        <f t="shared" si="2"/>
        <v>0</v>
      </c>
    </row>
    <row r="41" spans="1:53" ht="13.5" thickBot="1" x14ac:dyDescent="0.3">
      <c r="A41" s="173" t="s">
        <v>352</v>
      </c>
      <c r="B41" s="829"/>
      <c r="C41" s="829"/>
      <c r="D41" s="867"/>
      <c r="E41" s="867"/>
      <c r="F41" s="829"/>
      <c r="G41" s="829"/>
      <c r="H41" s="829"/>
      <c r="I41" s="829"/>
      <c r="J41" s="829"/>
      <c r="K41" s="829"/>
      <c r="L41" s="829"/>
      <c r="M41" s="829"/>
      <c r="N41" s="829"/>
      <c r="O41" s="829"/>
      <c r="P41" s="829"/>
      <c r="Q41" s="829"/>
      <c r="R41" s="829"/>
      <c r="S41" s="829"/>
      <c r="T41" s="829"/>
      <c r="U41" s="829"/>
      <c r="V41" s="829"/>
      <c r="W41" s="829"/>
      <c r="X41" s="829"/>
      <c r="Y41" s="829"/>
      <c r="Z41" s="829"/>
      <c r="AA41" s="829"/>
      <c r="AB41" s="829"/>
      <c r="AC41" s="829"/>
      <c r="AD41" s="829"/>
      <c r="AE41" s="829"/>
      <c r="AF41" s="829"/>
      <c r="AG41" s="829"/>
      <c r="AH41" s="829"/>
      <c r="AI41" s="829"/>
      <c r="AJ41" s="829"/>
      <c r="AL41" s="949"/>
      <c r="AM41" s="950"/>
      <c r="AN41" s="942"/>
      <c r="AO41" s="888"/>
      <c r="AP41" s="891"/>
      <c r="AQ41" s="829"/>
      <c r="AR41" s="829"/>
      <c r="AT41" s="1000"/>
      <c r="AU41" s="1003"/>
      <c r="AV41" s="864">
        <f t="shared" si="0"/>
        <v>0</v>
      </c>
      <c r="AW41" s="247">
        <f t="shared" si="0"/>
        <v>0</v>
      </c>
      <c r="AX41" s="829"/>
      <c r="AY41" s="829"/>
      <c r="AZ41" s="895"/>
      <c r="BA41" s="890">
        <f t="shared" si="2"/>
        <v>0</v>
      </c>
    </row>
    <row r="42" spans="1:53" s="852" customFormat="1" ht="15" thickBot="1" x14ac:dyDescent="0.35">
      <c r="A42" s="370" t="s">
        <v>54</v>
      </c>
      <c r="B42" s="868">
        <f>B32</f>
        <v>34436</v>
      </c>
      <c r="C42" s="868">
        <f>C32</f>
        <v>25688</v>
      </c>
      <c r="D42" s="869">
        <f>D32</f>
        <v>7531</v>
      </c>
      <c r="E42" s="869">
        <v>7195</v>
      </c>
      <c r="F42" s="868">
        <f>F35+F39</f>
        <v>0</v>
      </c>
      <c r="G42" s="868"/>
      <c r="H42" s="868">
        <f t="shared" ref="H42:T42" si="6">H32</f>
        <v>56324</v>
      </c>
      <c r="I42" s="868">
        <v>49525</v>
      </c>
      <c r="J42" s="868">
        <f t="shared" si="6"/>
        <v>3386</v>
      </c>
      <c r="K42" s="868">
        <f>K38</f>
        <v>2882</v>
      </c>
      <c r="L42" s="868">
        <f t="shared" si="6"/>
        <v>1374</v>
      </c>
      <c r="M42" s="868">
        <v>532</v>
      </c>
      <c r="N42" s="868">
        <f t="shared" si="6"/>
        <v>10486</v>
      </c>
      <c r="O42" s="868">
        <f>O32</f>
        <v>7611</v>
      </c>
      <c r="P42" s="868">
        <v>2671</v>
      </c>
      <c r="Q42" s="868">
        <v>1781</v>
      </c>
      <c r="R42" s="868">
        <f t="shared" si="6"/>
        <v>0</v>
      </c>
      <c r="S42" s="868">
        <v>57816</v>
      </c>
      <c r="T42" s="868">
        <f t="shared" si="6"/>
        <v>6094</v>
      </c>
      <c r="U42" s="868">
        <v>3209</v>
      </c>
      <c r="V42" s="868">
        <v>77183</v>
      </c>
      <c r="W42" s="868">
        <v>53931</v>
      </c>
      <c r="X42" s="868">
        <v>109452</v>
      </c>
      <c r="Y42" s="868">
        <v>78572</v>
      </c>
      <c r="Z42" s="868">
        <f t="shared" ref="Z42:AJ42" si="7">Z32</f>
        <v>1732</v>
      </c>
      <c r="AA42" s="868">
        <v>1142</v>
      </c>
      <c r="AB42" s="868">
        <f t="shared" si="7"/>
        <v>2843.29</v>
      </c>
      <c r="AC42" s="868">
        <f>AC25</f>
        <v>1837.35</v>
      </c>
      <c r="AD42" s="868">
        <f t="shared" si="7"/>
        <v>9146</v>
      </c>
      <c r="AE42" s="868">
        <v>7254</v>
      </c>
      <c r="AF42" s="868">
        <f t="shared" si="7"/>
        <v>85473</v>
      </c>
      <c r="AG42" s="868">
        <f>AG19</f>
        <v>59685</v>
      </c>
      <c r="AH42" s="868">
        <f t="shared" si="7"/>
        <v>20231</v>
      </c>
      <c r="AI42" s="868">
        <f>AI22</f>
        <v>11792</v>
      </c>
      <c r="AJ42" s="868">
        <f t="shared" si="7"/>
        <v>9582</v>
      </c>
      <c r="AK42" s="889">
        <f>AK19</f>
        <v>7080</v>
      </c>
      <c r="AL42" s="892">
        <f>AL35+AL39</f>
        <v>0</v>
      </c>
      <c r="AM42" s="868"/>
      <c r="AN42" s="868">
        <f>AN32</f>
        <v>35707</v>
      </c>
      <c r="AO42" s="889">
        <v>33832</v>
      </c>
      <c r="AP42" s="892">
        <f>AP32</f>
        <v>10783.1</v>
      </c>
      <c r="AQ42" s="868">
        <f>AQ19</f>
        <v>7489</v>
      </c>
      <c r="AR42" s="868">
        <f>AR32</f>
        <v>2098</v>
      </c>
      <c r="AS42" s="896">
        <f>AS22</f>
        <v>1506</v>
      </c>
      <c r="AT42" s="1001">
        <f>AT32</f>
        <v>51443</v>
      </c>
      <c r="AU42" s="999">
        <f>AU22</f>
        <v>49070</v>
      </c>
      <c r="AV42" s="897">
        <f t="shared" si="0"/>
        <v>958334.74</v>
      </c>
      <c r="AW42" s="247">
        <f t="shared" si="0"/>
        <v>972968.74</v>
      </c>
      <c r="AX42" s="868"/>
      <c r="AY42" s="868"/>
      <c r="AZ42" s="897">
        <f t="shared" si="1"/>
        <v>958334.74</v>
      </c>
      <c r="BA42" s="897">
        <f t="shared" si="2"/>
        <v>972968.74</v>
      </c>
    </row>
  </sheetData>
  <mergeCells count="26">
    <mergeCell ref="AJ1:AK1"/>
    <mergeCell ref="Z1:AA1"/>
    <mergeCell ref="AB1:AC1"/>
    <mergeCell ref="AD1:AE1"/>
    <mergeCell ref="AF1:AG1"/>
    <mergeCell ref="AH1:AI1"/>
    <mergeCell ref="L1:M1"/>
    <mergeCell ref="X1:Y1"/>
    <mergeCell ref="V1:W1"/>
    <mergeCell ref="T1:U1"/>
    <mergeCell ref="R1:S1"/>
    <mergeCell ref="P1:Q1"/>
    <mergeCell ref="N1:O1"/>
    <mergeCell ref="B1:C1"/>
    <mergeCell ref="D1:E1"/>
    <mergeCell ref="F1:G1"/>
    <mergeCell ref="H1:I1"/>
    <mergeCell ref="J1:K1"/>
    <mergeCell ref="AL1:AM1"/>
    <mergeCell ref="AZ1:BA1"/>
    <mergeCell ref="AX1:AY1"/>
    <mergeCell ref="AV1:AW1"/>
    <mergeCell ref="AT1:AU1"/>
    <mergeCell ref="AR1:AS1"/>
    <mergeCell ref="AP1:AQ1"/>
    <mergeCell ref="AN1:AO1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BA21"/>
  <sheetViews>
    <sheetView workbookViewId="0">
      <pane xSplit="1" topLeftCell="B1" activePane="topRight" state="frozen"/>
      <selection pane="topRight" activeCell="AQ18" sqref="AQ18"/>
    </sheetView>
  </sheetViews>
  <sheetFormatPr defaultRowHeight="13.5" x14ac:dyDescent="0.25"/>
  <cols>
    <col min="1" max="1" width="74.7109375" style="55" customWidth="1"/>
    <col min="2" max="53" width="12.85546875" style="55" bestFit="1" customWidth="1"/>
    <col min="54" max="16384" width="9.140625" style="55"/>
  </cols>
  <sheetData>
    <row r="1" spans="1:53" x14ac:dyDescent="0.25">
      <c r="A1" s="1100" t="s">
        <v>241</v>
      </c>
      <c r="B1" s="1100"/>
      <c r="C1" s="1100"/>
      <c r="D1" s="1100"/>
      <c r="E1" s="1100"/>
      <c r="F1" s="1100"/>
      <c r="G1" s="1100"/>
      <c r="H1" s="1100"/>
      <c r="I1" s="1100"/>
      <c r="J1" s="1100"/>
      <c r="K1" s="1100"/>
      <c r="L1" s="1100"/>
      <c r="M1" s="1100"/>
      <c r="N1" s="1100"/>
      <c r="O1" s="1100"/>
      <c r="P1" s="1100"/>
      <c r="Q1" s="1100"/>
      <c r="R1" s="1100"/>
      <c r="S1" s="1100"/>
      <c r="T1" s="1100"/>
      <c r="U1" s="1100"/>
      <c r="V1" s="1100"/>
      <c r="W1" s="1100"/>
      <c r="X1" s="1100"/>
      <c r="Y1" s="1100"/>
      <c r="Z1" s="1100"/>
      <c r="AA1" s="1100"/>
      <c r="AB1" s="1100"/>
      <c r="AC1" s="1100"/>
      <c r="AD1" s="1100"/>
      <c r="AE1" s="1100"/>
      <c r="AF1" s="1100"/>
      <c r="AG1" s="1100"/>
      <c r="AH1" s="1100"/>
      <c r="AI1" s="1100"/>
      <c r="AJ1" s="1100"/>
      <c r="AK1" s="1100"/>
      <c r="AL1" s="1100"/>
      <c r="AM1" s="1100"/>
      <c r="AN1" s="1100"/>
      <c r="AO1" s="1100"/>
      <c r="AP1" s="1100"/>
      <c r="AQ1" s="1100"/>
      <c r="AR1" s="1100"/>
      <c r="AS1" s="1100"/>
      <c r="AT1" s="1100"/>
      <c r="AU1" s="1100"/>
      <c r="AV1" s="1100"/>
      <c r="AW1" s="1100"/>
      <c r="AX1" s="1100"/>
      <c r="AY1" s="1100"/>
      <c r="AZ1" s="1100"/>
    </row>
    <row r="2" spans="1:53" ht="16.5" thickBot="1" x14ac:dyDescent="0.4">
      <c r="A2" s="1052" t="s">
        <v>147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2"/>
      <c r="X2" s="1052"/>
      <c r="Y2" s="1052"/>
      <c r="Z2" s="1052"/>
      <c r="AA2" s="1052"/>
      <c r="AB2" s="1052"/>
      <c r="AC2" s="1052"/>
      <c r="AD2" s="1052"/>
      <c r="AE2" s="1052"/>
      <c r="AF2" s="1052"/>
      <c r="AG2" s="1052"/>
      <c r="AH2" s="1052"/>
      <c r="AI2" s="1052"/>
      <c r="AJ2" s="1052"/>
      <c r="AK2" s="1052"/>
      <c r="AL2" s="1052"/>
      <c r="AM2" s="1052"/>
      <c r="AN2" s="1052"/>
      <c r="AO2" s="1052"/>
      <c r="AP2" s="1052"/>
      <c r="AQ2" s="1052"/>
      <c r="AR2" s="1052"/>
      <c r="AS2" s="1052"/>
      <c r="AT2" s="1052"/>
      <c r="AU2" s="1052"/>
      <c r="AV2" s="1052"/>
      <c r="AW2" s="1052"/>
      <c r="AX2" s="1052"/>
      <c r="AY2" s="1052"/>
      <c r="AZ2" s="1052"/>
    </row>
    <row r="3" spans="1:53" s="389" customFormat="1" ht="43.5" customHeight="1" thickBot="1" x14ac:dyDescent="0.3">
      <c r="A3" s="1101" t="s">
        <v>0</v>
      </c>
      <c r="B3" s="1103" t="s">
        <v>149</v>
      </c>
      <c r="C3" s="1104"/>
      <c r="D3" s="1098" t="s">
        <v>150</v>
      </c>
      <c r="E3" s="1099"/>
      <c r="F3" s="1097" t="s">
        <v>151</v>
      </c>
      <c r="G3" s="1097"/>
      <c r="H3" s="1098" t="s">
        <v>152</v>
      </c>
      <c r="I3" s="1099"/>
      <c r="J3" s="1098" t="s">
        <v>153</v>
      </c>
      <c r="K3" s="1099"/>
      <c r="L3" s="1098" t="s">
        <v>154</v>
      </c>
      <c r="M3" s="1099"/>
      <c r="N3" s="1097" t="s">
        <v>253</v>
      </c>
      <c r="O3" s="1097"/>
      <c r="P3" s="1098" t="s">
        <v>155</v>
      </c>
      <c r="Q3" s="1099"/>
      <c r="R3" s="1098" t="s">
        <v>156</v>
      </c>
      <c r="S3" s="1097"/>
      <c r="T3" s="1098" t="s">
        <v>157</v>
      </c>
      <c r="U3" s="1099"/>
      <c r="V3" s="1098" t="s">
        <v>158</v>
      </c>
      <c r="W3" s="1099"/>
      <c r="X3" s="1098" t="s">
        <v>159</v>
      </c>
      <c r="Y3" s="1097"/>
      <c r="Z3" s="1098" t="s">
        <v>359</v>
      </c>
      <c r="AA3" s="1099"/>
      <c r="AB3" s="1097" t="s">
        <v>160</v>
      </c>
      <c r="AC3" s="1097"/>
      <c r="AD3" s="1098" t="s">
        <v>161</v>
      </c>
      <c r="AE3" s="1099"/>
      <c r="AF3" s="1097" t="s">
        <v>162</v>
      </c>
      <c r="AG3" s="1097"/>
      <c r="AH3" s="1098" t="s">
        <v>163</v>
      </c>
      <c r="AI3" s="1099"/>
      <c r="AJ3" s="1098" t="s">
        <v>164</v>
      </c>
      <c r="AK3" s="1097"/>
      <c r="AL3" s="1098" t="s">
        <v>165</v>
      </c>
      <c r="AM3" s="1099"/>
      <c r="AN3" s="1097" t="s">
        <v>166</v>
      </c>
      <c r="AO3" s="1099"/>
      <c r="AP3" s="1098" t="s">
        <v>167</v>
      </c>
      <c r="AQ3" s="1097"/>
      <c r="AR3" s="1098" t="s">
        <v>168</v>
      </c>
      <c r="AS3" s="1099"/>
      <c r="AT3" s="1097" t="s">
        <v>169</v>
      </c>
      <c r="AU3" s="1097"/>
      <c r="AV3" s="1098" t="s">
        <v>1</v>
      </c>
      <c r="AW3" s="1099"/>
      <c r="AX3" s="1097" t="s">
        <v>170</v>
      </c>
      <c r="AY3" s="1097"/>
      <c r="AZ3" s="1098" t="s">
        <v>2</v>
      </c>
      <c r="BA3" s="1099"/>
    </row>
    <row r="4" spans="1:53" s="258" customFormat="1" ht="15" thickBot="1" x14ac:dyDescent="0.35">
      <c r="A4" s="1102"/>
      <c r="B4" s="330" t="s">
        <v>370</v>
      </c>
      <c r="C4" s="331" t="s">
        <v>353</v>
      </c>
      <c r="D4" s="330" t="s">
        <v>370</v>
      </c>
      <c r="E4" s="331" t="s">
        <v>353</v>
      </c>
      <c r="F4" s="330" t="s">
        <v>370</v>
      </c>
      <c r="G4" s="331" t="s">
        <v>353</v>
      </c>
      <c r="H4" s="330" t="s">
        <v>370</v>
      </c>
      <c r="I4" s="331" t="s">
        <v>353</v>
      </c>
      <c r="J4" s="330" t="s">
        <v>370</v>
      </c>
      <c r="K4" s="331" t="s">
        <v>353</v>
      </c>
      <c r="L4" s="330" t="s">
        <v>370</v>
      </c>
      <c r="M4" s="331" t="s">
        <v>353</v>
      </c>
      <c r="N4" s="330" t="s">
        <v>370</v>
      </c>
      <c r="O4" s="331" t="s">
        <v>353</v>
      </c>
      <c r="P4" s="330" t="s">
        <v>370</v>
      </c>
      <c r="Q4" s="331" t="s">
        <v>353</v>
      </c>
      <c r="R4" s="330" t="s">
        <v>370</v>
      </c>
      <c r="S4" s="331" t="s">
        <v>353</v>
      </c>
      <c r="T4" s="330" t="s">
        <v>370</v>
      </c>
      <c r="U4" s="331" t="s">
        <v>353</v>
      </c>
      <c r="V4" s="330" t="s">
        <v>370</v>
      </c>
      <c r="W4" s="331" t="s">
        <v>353</v>
      </c>
      <c r="X4" s="330" t="s">
        <v>370</v>
      </c>
      <c r="Y4" s="331" t="s">
        <v>353</v>
      </c>
      <c r="Z4" s="330" t="s">
        <v>370</v>
      </c>
      <c r="AA4" s="331" t="s">
        <v>353</v>
      </c>
      <c r="AB4" s="330" t="s">
        <v>370</v>
      </c>
      <c r="AC4" s="331" t="s">
        <v>353</v>
      </c>
      <c r="AD4" s="330" t="s">
        <v>370</v>
      </c>
      <c r="AE4" s="331" t="s">
        <v>353</v>
      </c>
      <c r="AF4" s="330" t="s">
        <v>370</v>
      </c>
      <c r="AG4" s="331" t="s">
        <v>353</v>
      </c>
      <c r="AH4" s="330" t="s">
        <v>370</v>
      </c>
      <c r="AI4" s="331" t="s">
        <v>353</v>
      </c>
      <c r="AJ4" s="330" t="s">
        <v>370</v>
      </c>
      <c r="AK4" s="331" t="s">
        <v>353</v>
      </c>
      <c r="AL4" s="330" t="s">
        <v>370</v>
      </c>
      <c r="AM4" s="331" t="s">
        <v>353</v>
      </c>
      <c r="AN4" s="330" t="s">
        <v>370</v>
      </c>
      <c r="AO4" s="331" t="s">
        <v>353</v>
      </c>
      <c r="AP4" s="330" t="s">
        <v>370</v>
      </c>
      <c r="AQ4" s="331" t="s">
        <v>353</v>
      </c>
      <c r="AR4" s="330" t="s">
        <v>370</v>
      </c>
      <c r="AS4" s="331" t="s">
        <v>353</v>
      </c>
      <c r="AT4" s="330" t="s">
        <v>370</v>
      </c>
      <c r="AU4" s="331" t="s">
        <v>353</v>
      </c>
      <c r="AV4" s="330" t="s">
        <v>370</v>
      </c>
      <c r="AW4" s="331" t="s">
        <v>353</v>
      </c>
      <c r="AX4" s="330" t="s">
        <v>370</v>
      </c>
      <c r="AY4" s="331" t="s">
        <v>353</v>
      </c>
      <c r="AZ4" s="330" t="s">
        <v>370</v>
      </c>
      <c r="BA4" s="331" t="s">
        <v>353</v>
      </c>
    </row>
    <row r="5" spans="1:53" s="25" customFormat="1" ht="15" customHeight="1" x14ac:dyDescent="0.25">
      <c r="A5" s="60" t="s">
        <v>3</v>
      </c>
      <c r="B5" s="210">
        <v>17.010000000000002</v>
      </c>
      <c r="C5" s="212">
        <v>17.989999999999998</v>
      </c>
      <c r="D5" s="210"/>
      <c r="E5" s="212"/>
      <c r="F5" s="214">
        <v>0.09</v>
      </c>
      <c r="G5" s="213">
        <v>0.1</v>
      </c>
      <c r="H5" s="210">
        <v>1</v>
      </c>
      <c r="I5" s="212">
        <v>7.22</v>
      </c>
      <c r="J5" s="520"/>
      <c r="K5" s="669"/>
      <c r="L5" s="210"/>
      <c r="M5" s="212"/>
      <c r="N5" s="214"/>
      <c r="O5" s="213"/>
      <c r="P5" s="210"/>
      <c r="Q5" s="212">
        <v>3.0000000000000001E-3</v>
      </c>
      <c r="R5" s="539"/>
      <c r="S5" s="690"/>
      <c r="T5" s="210">
        <v>0.66</v>
      </c>
      <c r="U5" s="212">
        <v>2.0099999999999998</v>
      </c>
      <c r="V5" s="210">
        <v>1.98</v>
      </c>
      <c r="W5" s="212">
        <v>0.34</v>
      </c>
      <c r="X5" s="211">
        <v>41.99</v>
      </c>
      <c r="Y5" s="213">
        <v>6.59</v>
      </c>
      <c r="Z5" s="210"/>
      <c r="AA5" s="212"/>
      <c r="AB5" s="693"/>
      <c r="AC5" s="696"/>
      <c r="AD5" s="210">
        <v>-7.0000000000000007E-2</v>
      </c>
      <c r="AE5" s="212">
        <v>0.43</v>
      </c>
      <c r="AF5" s="214">
        <v>0.75</v>
      </c>
      <c r="AG5" s="213">
        <v>0.05</v>
      </c>
      <c r="AH5" s="210">
        <v>0.19</v>
      </c>
      <c r="AI5" s="212">
        <v>0.12</v>
      </c>
      <c r="AJ5" s="211"/>
      <c r="AK5" s="213"/>
      <c r="AL5" s="210"/>
      <c r="AM5" s="212"/>
      <c r="AN5" s="933">
        <v>359.22</v>
      </c>
      <c r="AO5" s="934">
        <v>64.010000000000005</v>
      </c>
      <c r="AP5" s="211"/>
      <c r="AQ5" s="213"/>
      <c r="AR5" s="210"/>
      <c r="AS5" s="212"/>
      <c r="AT5" s="702">
        <v>1.69</v>
      </c>
      <c r="AU5" s="690">
        <v>1.73</v>
      </c>
      <c r="AV5" s="208">
        <f t="shared" ref="AV5:AV14" si="0">SUM(B5+D5+F5+H5+J5+L5+N5+P5+R5+T5+V5+X5+Z5+P5+AD5+AF5+AH5+AJ5+AL5+AN5+AP5+AR5+B5)</f>
        <v>439.83000000000004</v>
      </c>
      <c r="AW5" s="675">
        <f t="shared" ref="AW5:AW14" si="1">SUM(C5+E5+G5+I5+K5+M5+O5+Q5+S5+U5+W5+Y5+AA5+Q5+AE5+AG5+AI5+AK5+AM5+AO5+AQ5+AS5+C5)</f>
        <v>116.85599999999999</v>
      </c>
      <c r="AX5" s="214">
        <v>3779.67</v>
      </c>
      <c r="AY5" s="213">
        <v>4098</v>
      </c>
      <c r="AZ5" s="208">
        <f t="shared" ref="AZ5:AZ14" si="2">AV5+AX5</f>
        <v>4219.5</v>
      </c>
      <c r="BA5" s="209">
        <f t="shared" ref="BA5:BA14" si="3">AW5+AY5</f>
        <v>4214.8559999999998</v>
      </c>
    </row>
    <row r="6" spans="1:53" s="25" customFormat="1" x14ac:dyDescent="0.25">
      <c r="A6" s="60" t="s">
        <v>4</v>
      </c>
      <c r="B6" s="4">
        <v>54.54</v>
      </c>
      <c r="C6" s="212">
        <v>0.39</v>
      </c>
      <c r="D6" s="4"/>
      <c r="E6" s="6"/>
      <c r="F6" s="20">
        <v>3.13</v>
      </c>
      <c r="G6" s="213">
        <v>1.91</v>
      </c>
      <c r="H6" s="4">
        <v>477.56</v>
      </c>
      <c r="I6" s="212">
        <v>433.94</v>
      </c>
      <c r="J6" s="222">
        <v>18.260000000000002</v>
      </c>
      <c r="K6" s="234">
        <v>3.83</v>
      </c>
      <c r="L6" s="4">
        <v>296.26</v>
      </c>
      <c r="M6" s="6">
        <v>173.33</v>
      </c>
      <c r="N6" s="20"/>
      <c r="O6" s="58"/>
      <c r="P6" s="4">
        <v>2.63</v>
      </c>
      <c r="Q6" s="25">
        <v>4.18</v>
      </c>
      <c r="R6" s="233"/>
      <c r="S6" s="6">
        <v>0.1</v>
      </c>
      <c r="T6" s="4">
        <v>7.52</v>
      </c>
      <c r="U6" s="212">
        <v>7.42</v>
      </c>
      <c r="V6" s="210">
        <v>1430.4</v>
      </c>
      <c r="W6" s="6">
        <v>736.07</v>
      </c>
      <c r="X6" s="5">
        <v>559.82000000000005</v>
      </c>
      <c r="Y6" s="213">
        <v>430.82</v>
      </c>
      <c r="Z6" s="53">
        <v>98.53</v>
      </c>
      <c r="AA6" s="410">
        <v>48.41</v>
      </c>
      <c r="AB6" s="694">
        <v>160.43</v>
      </c>
      <c r="AC6" s="697">
        <v>98.05</v>
      </c>
      <c r="AD6" s="4">
        <v>195.71</v>
      </c>
      <c r="AE6" s="212">
        <v>96.5</v>
      </c>
      <c r="AF6" s="20">
        <v>306.24</v>
      </c>
      <c r="AG6" s="213">
        <v>280.60000000000002</v>
      </c>
      <c r="AH6" s="4">
        <v>186.85</v>
      </c>
      <c r="AI6" s="6">
        <v>125.25</v>
      </c>
      <c r="AJ6" s="5"/>
      <c r="AK6" s="58"/>
      <c r="AL6" s="4"/>
      <c r="AM6" s="6"/>
      <c r="AN6" s="935">
        <v>1827.8</v>
      </c>
      <c r="AO6" s="936">
        <v>1195.6300000000001</v>
      </c>
      <c r="AP6" s="5"/>
      <c r="AQ6" s="58"/>
      <c r="AR6" s="59">
        <v>225.56</v>
      </c>
      <c r="AS6" s="703">
        <v>130.29</v>
      </c>
      <c r="AT6" s="694">
        <v>11</v>
      </c>
      <c r="AU6" s="704">
        <v>1.21</v>
      </c>
      <c r="AV6" s="208">
        <f t="shared" si="0"/>
        <v>5747.9800000000005</v>
      </c>
      <c r="AW6" s="675">
        <f t="shared" si="1"/>
        <v>3673.2400000000002</v>
      </c>
      <c r="AX6" s="705">
        <v>5507.92</v>
      </c>
      <c r="AY6" s="213">
        <v>1485</v>
      </c>
      <c r="AZ6" s="50">
        <f t="shared" si="2"/>
        <v>11255.900000000001</v>
      </c>
      <c r="BA6" s="57">
        <f t="shared" si="3"/>
        <v>5158.24</v>
      </c>
    </row>
    <row r="7" spans="1:53" s="25" customFormat="1" x14ac:dyDescent="0.25">
      <c r="A7" s="60" t="s">
        <v>5</v>
      </c>
      <c r="B7" s="4">
        <v>110.34</v>
      </c>
      <c r="C7" s="212">
        <v>64.16</v>
      </c>
      <c r="D7" s="4">
        <v>0.87</v>
      </c>
      <c r="E7" s="6">
        <v>-0.02</v>
      </c>
      <c r="F7" s="20"/>
      <c r="G7" s="213"/>
      <c r="H7" s="4">
        <v>46.96</v>
      </c>
      <c r="I7" s="212">
        <v>20.350000000000001</v>
      </c>
      <c r="J7" s="222">
        <v>0.12</v>
      </c>
      <c r="K7" s="234">
        <v>1.62</v>
      </c>
      <c r="L7" s="4">
        <v>24.12</v>
      </c>
      <c r="M7" s="6">
        <v>13.67</v>
      </c>
      <c r="N7" s="20">
        <v>101.17</v>
      </c>
      <c r="O7" s="58">
        <v>37.97</v>
      </c>
      <c r="P7" s="4"/>
      <c r="R7" s="233"/>
      <c r="S7" s="6"/>
      <c r="T7" s="4">
        <v>0</v>
      </c>
      <c r="U7" s="212">
        <v>0.08</v>
      </c>
      <c r="V7" s="210">
        <v>815.86</v>
      </c>
      <c r="W7" s="6">
        <v>651.24</v>
      </c>
      <c r="X7" s="5">
        <v>226.07</v>
      </c>
      <c r="Y7" s="213">
        <v>156.49</v>
      </c>
      <c r="Z7" s="53"/>
      <c r="AA7" s="410"/>
      <c r="AB7" s="694">
        <v>14</v>
      </c>
      <c r="AC7" s="697"/>
      <c r="AD7" s="4">
        <v>194.59</v>
      </c>
      <c r="AE7" s="212">
        <v>90.42</v>
      </c>
      <c r="AF7" s="20">
        <v>5.64</v>
      </c>
      <c r="AG7" s="213">
        <v>2.76</v>
      </c>
      <c r="AH7" s="4"/>
      <c r="AI7" s="6"/>
      <c r="AJ7" s="5"/>
      <c r="AK7" s="58"/>
      <c r="AL7" s="4"/>
      <c r="AM7" s="6"/>
      <c r="AN7" s="935">
        <v>0.66</v>
      </c>
      <c r="AO7" s="936">
        <v>1.32</v>
      </c>
      <c r="AP7" s="5">
        <v>70.599999999999994</v>
      </c>
      <c r="AQ7" s="58">
        <v>32.28</v>
      </c>
      <c r="AR7" s="59"/>
      <c r="AS7" s="703"/>
      <c r="AT7" s="694">
        <v>0.19</v>
      </c>
      <c r="AU7" s="704"/>
      <c r="AV7" s="208">
        <f t="shared" si="0"/>
        <v>1707.34</v>
      </c>
      <c r="AW7" s="675">
        <f t="shared" si="1"/>
        <v>1136.5</v>
      </c>
      <c r="AX7" s="705">
        <v>3.93</v>
      </c>
      <c r="AY7" s="213">
        <v>5.77</v>
      </c>
      <c r="AZ7" s="50">
        <f t="shared" si="2"/>
        <v>1711.27</v>
      </c>
      <c r="BA7" s="57">
        <f t="shared" si="3"/>
        <v>1142.27</v>
      </c>
    </row>
    <row r="8" spans="1:53" s="25" customFormat="1" x14ac:dyDescent="0.25">
      <c r="A8" s="60" t="s">
        <v>6</v>
      </c>
      <c r="B8" s="4">
        <v>170.31</v>
      </c>
      <c r="C8" s="212">
        <v>87.67</v>
      </c>
      <c r="D8" s="4">
        <v>7.0000000000000007E-2</v>
      </c>
      <c r="E8" s="6">
        <v>4.18</v>
      </c>
      <c r="F8" s="20">
        <v>4.79</v>
      </c>
      <c r="G8" s="213">
        <v>27.2</v>
      </c>
      <c r="H8" s="4">
        <v>180.43</v>
      </c>
      <c r="I8" s="212">
        <v>37.979999999999997</v>
      </c>
      <c r="J8" s="222">
        <v>0.08</v>
      </c>
      <c r="K8" s="234">
        <v>0.32</v>
      </c>
      <c r="L8" s="4">
        <v>1.26</v>
      </c>
      <c r="M8" s="6">
        <v>2.1800000000000002</v>
      </c>
      <c r="N8" s="20">
        <v>42.65</v>
      </c>
      <c r="O8" s="58">
        <v>16.41</v>
      </c>
      <c r="P8" s="4">
        <v>7.0000000000000007E-2</v>
      </c>
      <c r="Q8" s="25">
        <v>0.74</v>
      </c>
      <c r="R8" s="233"/>
      <c r="S8" s="6">
        <v>68.58</v>
      </c>
      <c r="T8" s="4">
        <v>7.44</v>
      </c>
      <c r="U8" s="212">
        <v>2.81</v>
      </c>
      <c r="V8" s="210">
        <v>211.02</v>
      </c>
      <c r="W8" s="6">
        <v>117.26</v>
      </c>
      <c r="X8" s="5">
        <v>390.35</v>
      </c>
      <c r="Y8" s="213">
        <v>221.02</v>
      </c>
      <c r="Z8" s="53"/>
      <c r="AA8" s="410"/>
      <c r="AB8" s="694">
        <v>42.16</v>
      </c>
      <c r="AC8" s="697">
        <v>34.9</v>
      </c>
      <c r="AD8" s="4">
        <v>201</v>
      </c>
      <c r="AE8" s="212">
        <v>37.159999999999997</v>
      </c>
      <c r="AF8" s="20">
        <v>15.19</v>
      </c>
      <c r="AG8" s="213">
        <v>3.45</v>
      </c>
      <c r="AH8" s="4">
        <v>123.21</v>
      </c>
      <c r="AI8" s="6">
        <v>49</v>
      </c>
      <c r="AJ8" s="5">
        <v>0.06</v>
      </c>
      <c r="AK8" s="58">
        <v>0.23</v>
      </c>
      <c r="AL8" s="4"/>
      <c r="AM8" s="6"/>
      <c r="AN8" s="935">
        <v>64.36</v>
      </c>
      <c r="AO8" s="936">
        <v>43.76</v>
      </c>
      <c r="AP8" s="5">
        <v>2.19</v>
      </c>
      <c r="AQ8" s="58">
        <v>30.08</v>
      </c>
      <c r="AR8" s="59">
        <v>0.1</v>
      </c>
      <c r="AS8" s="703">
        <v>4.3899999999999997</v>
      </c>
      <c r="AT8" s="694">
        <v>52.14</v>
      </c>
      <c r="AU8" s="704">
        <v>17.75</v>
      </c>
      <c r="AV8" s="208">
        <f t="shared" si="0"/>
        <v>1584.9599999999998</v>
      </c>
      <c r="AW8" s="675">
        <f t="shared" si="1"/>
        <v>842.83</v>
      </c>
      <c r="AX8" s="705">
        <v>41.18</v>
      </c>
      <c r="AY8" s="213">
        <v>167.8</v>
      </c>
      <c r="AZ8" s="50">
        <f t="shared" si="2"/>
        <v>1626.1399999999999</v>
      </c>
      <c r="BA8" s="57">
        <f t="shared" si="3"/>
        <v>1010.6300000000001</v>
      </c>
    </row>
    <row r="9" spans="1:53" s="25" customFormat="1" x14ac:dyDescent="0.25">
      <c r="A9" s="60" t="s">
        <v>7</v>
      </c>
      <c r="B9" s="4"/>
      <c r="C9" s="212"/>
      <c r="D9" s="4"/>
      <c r="E9" s="6"/>
      <c r="F9" s="20"/>
      <c r="G9" s="213"/>
      <c r="H9" s="4">
        <v>18.87</v>
      </c>
      <c r="I9" s="212">
        <v>42.67</v>
      </c>
      <c r="J9" s="222"/>
      <c r="K9" s="234"/>
      <c r="L9" s="4"/>
      <c r="M9" s="6"/>
      <c r="N9" s="20">
        <v>2.4900000000000002</v>
      </c>
      <c r="O9" s="58">
        <v>1.05</v>
      </c>
      <c r="P9" s="4"/>
      <c r="R9" s="233"/>
      <c r="S9" s="6"/>
      <c r="T9" s="4"/>
      <c r="U9" s="212"/>
      <c r="V9" s="210">
        <v>37.25</v>
      </c>
      <c r="W9" s="6">
        <v>12.85</v>
      </c>
      <c r="X9" s="5"/>
      <c r="Y9" s="213"/>
      <c r="Z9" s="53"/>
      <c r="AA9" s="410"/>
      <c r="AB9" s="694">
        <v>29.42</v>
      </c>
      <c r="AC9" s="697"/>
      <c r="AD9" s="4">
        <v>125.05</v>
      </c>
      <c r="AE9" s="212">
        <v>52.21</v>
      </c>
      <c r="AF9" s="20"/>
      <c r="AG9" s="213"/>
      <c r="AH9" s="4"/>
      <c r="AI9" s="6"/>
      <c r="AJ9" s="5"/>
      <c r="AK9" s="58"/>
      <c r="AL9" s="4"/>
      <c r="AM9" s="6"/>
      <c r="AN9" s="935"/>
      <c r="AO9" s="936"/>
      <c r="AP9" s="5"/>
      <c r="AQ9" s="58"/>
      <c r="AR9" s="59"/>
      <c r="AS9" s="703"/>
      <c r="AT9" s="694"/>
      <c r="AU9" s="704"/>
      <c r="AV9" s="208">
        <f t="shared" si="0"/>
        <v>183.66</v>
      </c>
      <c r="AW9" s="675">
        <f t="shared" si="1"/>
        <v>108.78</v>
      </c>
      <c r="AX9" s="705"/>
      <c r="AY9" s="213"/>
      <c r="AZ9" s="50">
        <f t="shared" si="2"/>
        <v>183.66</v>
      </c>
      <c r="BA9" s="57">
        <f t="shared" si="3"/>
        <v>108.78</v>
      </c>
    </row>
    <row r="10" spans="1:53" s="25" customFormat="1" x14ac:dyDescent="0.25">
      <c r="A10" s="60" t="s">
        <v>8</v>
      </c>
      <c r="B10" s="4">
        <v>1813.61</v>
      </c>
      <c r="C10" s="212">
        <v>1173.23</v>
      </c>
      <c r="D10" s="4">
        <v>0.28000000000000003</v>
      </c>
      <c r="E10" s="6">
        <v>1.02</v>
      </c>
      <c r="F10" s="20">
        <v>34.65</v>
      </c>
      <c r="G10" s="213">
        <v>17.45</v>
      </c>
      <c r="H10" s="4">
        <v>2224.5</v>
      </c>
      <c r="I10" s="212">
        <v>1564.52</v>
      </c>
      <c r="J10" s="222">
        <v>85.79</v>
      </c>
      <c r="K10" s="234">
        <v>68.45</v>
      </c>
      <c r="L10" s="4">
        <v>172.64</v>
      </c>
      <c r="M10" s="6">
        <v>505.19</v>
      </c>
      <c r="N10" s="20">
        <v>32.020000000000003</v>
      </c>
      <c r="O10" s="58">
        <v>15.04</v>
      </c>
      <c r="P10" s="4">
        <v>12.42</v>
      </c>
      <c r="Q10" s="25">
        <v>8.42</v>
      </c>
      <c r="R10" s="233"/>
      <c r="S10" s="6">
        <v>14.67</v>
      </c>
      <c r="T10" s="4">
        <v>187.93</v>
      </c>
      <c r="U10" s="212">
        <v>49.82</v>
      </c>
      <c r="V10" s="210">
        <v>3067.25</v>
      </c>
      <c r="W10" s="6">
        <v>3874</v>
      </c>
      <c r="X10" s="5">
        <v>2594.61</v>
      </c>
      <c r="Y10" s="213">
        <v>1918.56</v>
      </c>
      <c r="Z10" s="53">
        <v>1.1499999999999999</v>
      </c>
      <c r="AA10" s="410">
        <v>6.59</v>
      </c>
      <c r="AB10" s="694">
        <v>271.79000000000002</v>
      </c>
      <c r="AC10" s="697">
        <v>437.78</v>
      </c>
      <c r="AD10" s="699">
        <v>830.33</v>
      </c>
      <c r="AE10" s="212">
        <v>818.13</v>
      </c>
      <c r="AF10" s="20">
        <v>52</v>
      </c>
      <c r="AG10" s="213">
        <v>57.11</v>
      </c>
      <c r="AH10" s="4">
        <v>105.29</v>
      </c>
      <c r="AI10" s="6">
        <v>59.42</v>
      </c>
      <c r="AJ10" s="5">
        <v>51.37</v>
      </c>
      <c r="AK10" s="58">
        <v>88.29</v>
      </c>
      <c r="AL10" s="4"/>
      <c r="AM10" s="6"/>
      <c r="AN10" s="935">
        <v>2375.08</v>
      </c>
      <c r="AO10" s="936">
        <v>2508.7399999999998</v>
      </c>
      <c r="AP10" s="5">
        <v>120.54</v>
      </c>
      <c r="AQ10" s="58">
        <v>76</v>
      </c>
      <c r="AR10" s="59">
        <v>790.53</v>
      </c>
      <c r="AS10" s="703">
        <v>203.79</v>
      </c>
      <c r="AT10" s="694">
        <v>168.28</v>
      </c>
      <c r="AU10" s="704">
        <v>67.89</v>
      </c>
      <c r="AV10" s="208">
        <f t="shared" si="0"/>
        <v>16378.020000000004</v>
      </c>
      <c r="AW10" s="675">
        <f t="shared" si="1"/>
        <v>14210.090000000002</v>
      </c>
      <c r="AX10" s="20">
        <v>90374.67</v>
      </c>
      <c r="AY10" s="213">
        <v>57449.9</v>
      </c>
      <c r="AZ10" s="50">
        <f t="shared" si="2"/>
        <v>106752.69</v>
      </c>
      <c r="BA10" s="57">
        <f t="shared" si="3"/>
        <v>71659.990000000005</v>
      </c>
    </row>
    <row r="11" spans="1:53" s="25" customFormat="1" ht="14.25" thickBot="1" x14ac:dyDescent="0.3">
      <c r="A11" s="60" t="s">
        <v>9</v>
      </c>
      <c r="B11" s="50"/>
      <c r="C11" s="57"/>
      <c r="D11" s="4"/>
      <c r="E11" s="6"/>
      <c r="F11" s="20"/>
      <c r="G11" s="58"/>
      <c r="H11" s="4"/>
      <c r="I11" s="6"/>
      <c r="J11" s="4"/>
      <c r="K11" s="6"/>
      <c r="L11" s="4"/>
      <c r="M11" s="6"/>
      <c r="N11" s="20"/>
      <c r="O11" s="58"/>
      <c r="P11" s="4"/>
      <c r="Q11" s="6"/>
      <c r="R11" s="5"/>
      <c r="S11" s="58"/>
      <c r="T11" s="4"/>
      <c r="U11" s="6"/>
      <c r="V11" s="4"/>
      <c r="W11" s="6"/>
      <c r="X11" s="5">
        <v>10.83</v>
      </c>
      <c r="Y11" s="58">
        <f>1.86+0.04+3.57</f>
        <v>5.47</v>
      </c>
      <c r="Z11" s="53"/>
      <c r="AA11" s="410"/>
      <c r="AB11" s="694"/>
      <c r="AC11" s="697"/>
      <c r="AD11" s="699"/>
      <c r="AE11" s="700"/>
      <c r="AF11" s="20"/>
      <c r="AG11" s="58"/>
      <c r="AH11" s="4"/>
      <c r="AI11" s="212"/>
      <c r="AJ11" s="5"/>
      <c r="AK11" s="58"/>
      <c r="AL11" s="4"/>
      <c r="AM11" s="6"/>
      <c r="AN11" s="701"/>
      <c r="AO11" s="548"/>
      <c r="AP11" s="5"/>
      <c r="AQ11" s="58"/>
      <c r="AR11" s="59"/>
      <c r="AS11" s="703"/>
      <c r="AT11" s="20"/>
      <c r="AU11" s="58"/>
      <c r="AV11" s="208">
        <f t="shared" si="0"/>
        <v>10.83</v>
      </c>
      <c r="AW11" s="675">
        <f t="shared" si="1"/>
        <v>5.47</v>
      </c>
      <c r="AX11" s="20"/>
      <c r="AY11" s="58"/>
      <c r="AZ11" s="50">
        <f t="shared" si="2"/>
        <v>10.83</v>
      </c>
      <c r="BA11" s="57">
        <f t="shared" si="3"/>
        <v>5.47</v>
      </c>
    </row>
    <row r="12" spans="1:53" s="266" customFormat="1" x14ac:dyDescent="0.25">
      <c r="A12" s="256" t="s">
        <v>10</v>
      </c>
      <c r="B12" s="259">
        <f>SUM(B5:B11)</f>
        <v>2165.81</v>
      </c>
      <c r="C12" s="261">
        <f t="shared" ref="C12:Q12" si="4">SUM(C5:C11)</f>
        <v>1343.44</v>
      </c>
      <c r="D12" s="259">
        <f t="shared" si="4"/>
        <v>1.22</v>
      </c>
      <c r="E12" s="261">
        <f t="shared" si="4"/>
        <v>5.18</v>
      </c>
      <c r="F12" s="260">
        <f t="shared" si="4"/>
        <v>42.66</v>
      </c>
      <c r="G12" s="262">
        <f t="shared" si="4"/>
        <v>46.66</v>
      </c>
      <c r="H12" s="259">
        <f t="shared" si="4"/>
        <v>2949.32</v>
      </c>
      <c r="I12" s="261">
        <f t="shared" si="4"/>
        <v>2106.6800000000003</v>
      </c>
      <c r="J12" s="259">
        <f t="shared" si="4"/>
        <v>104.25</v>
      </c>
      <c r="K12" s="265">
        <f t="shared" si="4"/>
        <v>74.22</v>
      </c>
      <c r="L12" s="259">
        <f t="shared" si="4"/>
        <v>494.28</v>
      </c>
      <c r="M12" s="261">
        <f t="shared" si="4"/>
        <v>694.37</v>
      </c>
      <c r="N12" s="260">
        <f t="shared" si="4"/>
        <v>178.33</v>
      </c>
      <c r="O12" s="264">
        <f t="shared" si="4"/>
        <v>70.47</v>
      </c>
      <c r="P12" s="259">
        <f t="shared" si="4"/>
        <v>15.12</v>
      </c>
      <c r="Q12" s="261">
        <f t="shared" si="4"/>
        <v>13.343</v>
      </c>
      <c r="R12" s="263">
        <f t="shared" ref="R12:AI12" si="5">SUM(R5:R11)</f>
        <v>0</v>
      </c>
      <c r="S12" s="264">
        <f t="shared" si="5"/>
        <v>83.35</v>
      </c>
      <c r="T12" s="259">
        <f t="shared" si="5"/>
        <v>203.55</v>
      </c>
      <c r="U12" s="261">
        <f t="shared" si="5"/>
        <v>62.14</v>
      </c>
      <c r="V12" s="259">
        <f t="shared" si="5"/>
        <v>5563.76</v>
      </c>
      <c r="W12" s="261">
        <f t="shared" si="5"/>
        <v>5391.76</v>
      </c>
      <c r="X12" s="260">
        <f t="shared" si="5"/>
        <v>3823.67</v>
      </c>
      <c r="Y12" s="262">
        <f t="shared" si="5"/>
        <v>2738.95</v>
      </c>
      <c r="Z12" s="259">
        <f t="shared" si="5"/>
        <v>99.68</v>
      </c>
      <c r="AA12" s="261">
        <f t="shared" si="5"/>
        <v>55</v>
      </c>
      <c r="AB12" s="260">
        <f t="shared" si="5"/>
        <v>517.79999999999995</v>
      </c>
      <c r="AC12" s="264">
        <f t="shared" si="5"/>
        <v>570.73</v>
      </c>
      <c r="AD12" s="259">
        <f t="shared" si="5"/>
        <v>1546.6100000000001</v>
      </c>
      <c r="AE12" s="261">
        <f t="shared" si="5"/>
        <v>1094.8499999999999</v>
      </c>
      <c r="AF12" s="260">
        <f t="shared" si="5"/>
        <v>379.82</v>
      </c>
      <c r="AG12" s="262">
        <f t="shared" si="5"/>
        <v>343.97</v>
      </c>
      <c r="AH12" s="259">
        <f>SUM(AH5:AH11)</f>
        <v>415.54</v>
      </c>
      <c r="AI12" s="261">
        <f t="shared" si="5"/>
        <v>233.79000000000002</v>
      </c>
      <c r="AJ12" s="260">
        <f t="shared" ref="AJ12:AU12" si="6">SUM(AJ5:AJ11)</f>
        <v>51.43</v>
      </c>
      <c r="AK12" s="262">
        <f t="shared" si="6"/>
        <v>88.52000000000001</v>
      </c>
      <c r="AL12" s="259">
        <f t="shared" si="6"/>
        <v>0</v>
      </c>
      <c r="AM12" s="261">
        <f t="shared" si="6"/>
        <v>0</v>
      </c>
      <c r="AN12" s="547">
        <f t="shared" si="6"/>
        <v>4627.12</v>
      </c>
      <c r="AO12" s="547">
        <f t="shared" si="6"/>
        <v>3813.46</v>
      </c>
      <c r="AP12" s="260">
        <f t="shared" si="6"/>
        <v>193.32999999999998</v>
      </c>
      <c r="AQ12" s="262">
        <f t="shared" si="6"/>
        <v>138.36000000000001</v>
      </c>
      <c r="AR12" s="259">
        <f t="shared" si="6"/>
        <v>1016.1899999999999</v>
      </c>
      <c r="AS12" s="261">
        <f t="shared" si="6"/>
        <v>338.46999999999997</v>
      </c>
      <c r="AT12" s="260">
        <f t="shared" si="6"/>
        <v>233.3</v>
      </c>
      <c r="AU12" s="264">
        <f t="shared" si="6"/>
        <v>88.58</v>
      </c>
      <c r="AV12" s="208">
        <f t="shared" si="0"/>
        <v>26052.620000000003</v>
      </c>
      <c r="AW12" s="675">
        <f t="shared" si="1"/>
        <v>20093.766000000003</v>
      </c>
      <c r="AX12" s="706">
        <f>SUM(AX5:AX11)</f>
        <v>99707.37</v>
      </c>
      <c r="AY12" s="709">
        <f>SUM(AY5:AY11)</f>
        <v>63206.47</v>
      </c>
      <c r="AZ12" s="259">
        <f t="shared" si="2"/>
        <v>125759.98999999999</v>
      </c>
      <c r="BA12" s="265">
        <f t="shared" si="3"/>
        <v>83300.236000000004</v>
      </c>
    </row>
    <row r="13" spans="1:53" s="25" customFormat="1" ht="14.25" thickBot="1" x14ac:dyDescent="0.3">
      <c r="A13" s="60" t="s">
        <v>11</v>
      </c>
      <c r="B13" s="604"/>
      <c r="C13" s="605"/>
      <c r="D13" s="609"/>
      <c r="E13" s="610"/>
      <c r="F13" s="606"/>
      <c r="G13" s="608"/>
      <c r="H13" s="609"/>
      <c r="I13" s="610"/>
      <c r="J13" s="648"/>
      <c r="K13" s="670"/>
      <c r="L13" s="609"/>
      <c r="M13" s="610"/>
      <c r="N13" s="606"/>
      <c r="O13" s="608"/>
      <c r="P13" s="609"/>
      <c r="Q13" s="610"/>
      <c r="R13" s="673"/>
      <c r="S13" s="691"/>
      <c r="T13" s="611"/>
      <c r="U13" s="613"/>
      <c r="V13" s="611"/>
      <c r="W13" s="613"/>
      <c r="X13" s="612"/>
      <c r="Y13" s="614"/>
      <c r="Z13" s="611"/>
      <c r="AA13" s="613"/>
      <c r="AB13" s="695"/>
      <c r="AC13" s="698"/>
      <c r="AD13" s="609"/>
      <c r="AE13" s="610"/>
      <c r="AF13" s="606"/>
      <c r="AG13" s="608"/>
      <c r="AH13" s="609">
        <v>3.0000000000000001E-3</v>
      </c>
      <c r="AI13" s="610"/>
      <c r="AJ13" s="607"/>
      <c r="AK13" s="608"/>
      <c r="AL13" s="609"/>
      <c r="AM13" s="610"/>
      <c r="AN13" s="54"/>
      <c r="AO13" s="54"/>
      <c r="AP13" s="607"/>
      <c r="AQ13" s="608"/>
      <c r="AR13" s="615"/>
      <c r="AS13" s="617"/>
      <c r="AT13" s="606"/>
      <c r="AU13" s="608"/>
      <c r="AV13" s="676">
        <f t="shared" si="0"/>
        <v>3.0000000000000001E-3</v>
      </c>
      <c r="AW13" s="675">
        <f t="shared" si="1"/>
        <v>0</v>
      </c>
      <c r="AX13" s="707"/>
      <c r="AY13" s="616"/>
      <c r="AZ13" s="618">
        <f t="shared" si="2"/>
        <v>3.0000000000000001E-3</v>
      </c>
      <c r="BA13" s="619">
        <f t="shared" si="3"/>
        <v>0</v>
      </c>
    </row>
    <row r="14" spans="1:53" s="266" customFormat="1" ht="14.25" thickBot="1" x14ac:dyDescent="0.3">
      <c r="A14" s="473" t="s">
        <v>12</v>
      </c>
      <c r="B14" s="280">
        <f t="shared" ref="B14:AG14" si="7">B12+B13</f>
        <v>2165.81</v>
      </c>
      <c r="C14" s="281">
        <f t="shared" si="7"/>
        <v>1343.44</v>
      </c>
      <c r="D14" s="280">
        <f t="shared" si="7"/>
        <v>1.22</v>
      </c>
      <c r="E14" s="281">
        <f t="shared" si="7"/>
        <v>5.18</v>
      </c>
      <c r="F14" s="278">
        <f t="shared" si="7"/>
        <v>42.66</v>
      </c>
      <c r="G14" s="279">
        <f t="shared" si="7"/>
        <v>46.66</v>
      </c>
      <c r="H14" s="280">
        <f t="shared" si="7"/>
        <v>2949.32</v>
      </c>
      <c r="I14" s="281">
        <f t="shared" si="7"/>
        <v>2106.6800000000003</v>
      </c>
      <c r="J14" s="671">
        <f t="shared" si="7"/>
        <v>104.25</v>
      </c>
      <c r="K14" s="689">
        <f t="shared" si="7"/>
        <v>74.22</v>
      </c>
      <c r="L14" s="280">
        <f t="shared" si="7"/>
        <v>494.28</v>
      </c>
      <c r="M14" s="281">
        <f t="shared" si="7"/>
        <v>694.37</v>
      </c>
      <c r="N14" s="278">
        <f t="shared" si="7"/>
        <v>178.33</v>
      </c>
      <c r="O14" s="620">
        <f t="shared" si="7"/>
        <v>70.47</v>
      </c>
      <c r="P14" s="280">
        <f>P12+P13</f>
        <v>15.12</v>
      </c>
      <c r="Q14" s="281">
        <f>Q12+Q13</f>
        <v>13.343</v>
      </c>
      <c r="R14" s="672">
        <f t="shared" si="7"/>
        <v>0</v>
      </c>
      <c r="S14" s="692">
        <f t="shared" si="7"/>
        <v>83.35</v>
      </c>
      <c r="T14" s="280">
        <f t="shared" si="7"/>
        <v>203.55</v>
      </c>
      <c r="U14" s="281">
        <f t="shared" si="7"/>
        <v>62.14</v>
      </c>
      <c r="V14" s="280">
        <f t="shared" si="7"/>
        <v>5563.76</v>
      </c>
      <c r="W14" s="281">
        <f t="shared" si="7"/>
        <v>5391.76</v>
      </c>
      <c r="X14" s="278">
        <f t="shared" si="7"/>
        <v>3823.67</v>
      </c>
      <c r="Y14" s="279">
        <f t="shared" si="7"/>
        <v>2738.95</v>
      </c>
      <c r="Z14" s="280">
        <f t="shared" si="7"/>
        <v>99.68</v>
      </c>
      <c r="AA14" s="281">
        <f t="shared" si="7"/>
        <v>55</v>
      </c>
      <c r="AB14" s="278">
        <f t="shared" si="7"/>
        <v>517.79999999999995</v>
      </c>
      <c r="AC14" s="620">
        <f t="shared" si="7"/>
        <v>570.73</v>
      </c>
      <c r="AD14" s="280">
        <f t="shared" si="7"/>
        <v>1546.6100000000001</v>
      </c>
      <c r="AE14" s="281">
        <f t="shared" si="7"/>
        <v>1094.8499999999999</v>
      </c>
      <c r="AF14" s="278">
        <f t="shared" si="7"/>
        <v>379.82</v>
      </c>
      <c r="AG14" s="279">
        <f t="shared" si="7"/>
        <v>343.97</v>
      </c>
      <c r="AH14" s="280">
        <f t="shared" ref="AH14:AU14" si="8">AH12+AH13</f>
        <v>415.54300000000001</v>
      </c>
      <c r="AI14" s="281">
        <f t="shared" si="8"/>
        <v>233.79000000000002</v>
      </c>
      <c r="AJ14" s="278">
        <f t="shared" si="8"/>
        <v>51.43</v>
      </c>
      <c r="AK14" s="279">
        <f t="shared" si="8"/>
        <v>88.52000000000001</v>
      </c>
      <c r="AL14" s="280">
        <f t="shared" si="8"/>
        <v>0</v>
      </c>
      <c r="AM14" s="281">
        <f t="shared" si="8"/>
        <v>0</v>
      </c>
      <c r="AN14" s="278">
        <f t="shared" si="8"/>
        <v>4627.12</v>
      </c>
      <c r="AO14" s="278">
        <f t="shared" si="8"/>
        <v>3813.46</v>
      </c>
      <c r="AP14" s="278">
        <f t="shared" si="8"/>
        <v>193.32999999999998</v>
      </c>
      <c r="AQ14" s="279">
        <f t="shared" si="8"/>
        <v>138.36000000000001</v>
      </c>
      <c r="AR14" s="280">
        <f t="shared" si="8"/>
        <v>1016.1899999999999</v>
      </c>
      <c r="AS14" s="281">
        <f t="shared" si="8"/>
        <v>338.46999999999997</v>
      </c>
      <c r="AT14" s="278">
        <f t="shared" si="8"/>
        <v>233.3</v>
      </c>
      <c r="AU14" s="620">
        <f t="shared" si="8"/>
        <v>88.58</v>
      </c>
      <c r="AV14" s="677">
        <f t="shared" si="0"/>
        <v>26052.623000000003</v>
      </c>
      <c r="AW14" s="675">
        <f t="shared" si="1"/>
        <v>20093.766000000003</v>
      </c>
      <c r="AX14" s="708">
        <f>AX12+AX13</f>
        <v>99707.37</v>
      </c>
      <c r="AY14" s="710">
        <f>AY12+AY13</f>
        <v>63206.47</v>
      </c>
      <c r="AZ14" s="280">
        <f t="shared" si="2"/>
        <v>125759.993</v>
      </c>
      <c r="BA14" s="621">
        <f t="shared" si="3"/>
        <v>83300.236000000004</v>
      </c>
    </row>
    <row r="16" spans="1:53" x14ac:dyDescent="0.25">
      <c r="V16" s="674"/>
    </row>
    <row r="17" spans="22:22" x14ac:dyDescent="0.25">
      <c r="V17" s="674"/>
    </row>
    <row r="18" spans="22:22" x14ac:dyDescent="0.25">
      <c r="V18" s="674"/>
    </row>
    <row r="19" spans="22:22" x14ac:dyDescent="0.25">
      <c r="V19" s="674"/>
    </row>
    <row r="20" spans="22:22" x14ac:dyDescent="0.25">
      <c r="V20" s="674"/>
    </row>
    <row r="21" spans="22:22" x14ac:dyDescent="0.25">
      <c r="V21" s="674"/>
    </row>
  </sheetData>
  <mergeCells count="29">
    <mergeCell ref="AZ3:BA3"/>
    <mergeCell ref="A1:AZ1"/>
    <mergeCell ref="A2:AZ2"/>
    <mergeCell ref="A3:A4"/>
    <mergeCell ref="D3:E3"/>
    <mergeCell ref="B3:C3"/>
    <mergeCell ref="F3:G3"/>
    <mergeCell ref="H3:I3"/>
    <mergeCell ref="J3:K3"/>
    <mergeCell ref="L3:M3"/>
    <mergeCell ref="N3:O3"/>
    <mergeCell ref="R3:S3"/>
    <mergeCell ref="T3:U3"/>
    <mergeCell ref="V3:W3"/>
    <mergeCell ref="X3:Y3"/>
    <mergeCell ref="Z3:AA3"/>
    <mergeCell ref="P3:Q3"/>
    <mergeCell ref="AB3:AC3"/>
    <mergeCell ref="AD3:AE3"/>
    <mergeCell ref="AF3:AG3"/>
    <mergeCell ref="AH3:AI3"/>
    <mergeCell ref="AT3:AU3"/>
    <mergeCell ref="AV3:AW3"/>
    <mergeCell ref="AX3:AY3"/>
    <mergeCell ref="AJ3:AK3"/>
    <mergeCell ref="AL3:AM3"/>
    <mergeCell ref="AN3:AO3"/>
    <mergeCell ref="AP3:AQ3"/>
    <mergeCell ref="AR3:AS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</sheetPr>
  <dimension ref="A1:BA14"/>
  <sheetViews>
    <sheetView workbookViewId="0">
      <pane xSplit="1" topLeftCell="B1" activePane="topRight" state="frozen"/>
      <selection pane="topRight" sqref="A1:AZ1"/>
    </sheetView>
  </sheetViews>
  <sheetFormatPr defaultRowHeight="14.25" x14ac:dyDescent="0.3"/>
  <cols>
    <col min="1" max="1" width="23.7109375" style="7" bestFit="1" customWidth="1"/>
    <col min="2" max="15" width="12.85546875" style="7" bestFit="1" customWidth="1"/>
    <col min="16" max="17" width="12.85546875" style="23" bestFit="1" customWidth="1"/>
    <col min="18" max="25" width="12.85546875" style="7" bestFit="1" customWidth="1"/>
    <col min="26" max="27" width="12.85546875" style="23" bestFit="1" customWidth="1"/>
    <col min="28" max="53" width="12.85546875" style="7" bestFit="1" customWidth="1"/>
    <col min="54" max="16384" width="9.140625" style="7"/>
  </cols>
  <sheetData>
    <row r="1" spans="1:53" x14ac:dyDescent="0.3">
      <c r="A1" s="1100" t="s">
        <v>13</v>
      </c>
      <c r="B1" s="1100"/>
      <c r="C1" s="1100"/>
      <c r="D1" s="1100"/>
      <c r="E1" s="1100"/>
      <c r="F1" s="1100"/>
      <c r="G1" s="1100"/>
      <c r="H1" s="1100"/>
      <c r="I1" s="1100"/>
      <c r="J1" s="1100"/>
      <c r="K1" s="1100"/>
      <c r="L1" s="1100"/>
      <c r="M1" s="1100"/>
      <c r="N1" s="1100"/>
      <c r="O1" s="1100"/>
      <c r="P1" s="1100"/>
      <c r="Q1" s="1100"/>
      <c r="R1" s="1100"/>
      <c r="S1" s="1100"/>
      <c r="T1" s="1100"/>
      <c r="U1" s="1100"/>
      <c r="V1" s="1100"/>
      <c r="W1" s="1100"/>
      <c r="X1" s="1100"/>
      <c r="Y1" s="1100"/>
      <c r="Z1" s="1100"/>
      <c r="AA1" s="1100"/>
      <c r="AB1" s="1100"/>
      <c r="AC1" s="1100"/>
      <c r="AD1" s="1100"/>
      <c r="AE1" s="1100"/>
      <c r="AF1" s="1100"/>
      <c r="AG1" s="1100"/>
      <c r="AH1" s="1100"/>
      <c r="AI1" s="1100"/>
      <c r="AJ1" s="1100"/>
      <c r="AK1" s="1100"/>
      <c r="AL1" s="1100"/>
      <c r="AM1" s="1100"/>
      <c r="AN1" s="1100"/>
      <c r="AO1" s="1100"/>
      <c r="AP1" s="1100"/>
      <c r="AQ1" s="1100"/>
      <c r="AR1" s="1100"/>
      <c r="AS1" s="1100"/>
      <c r="AT1" s="1100"/>
      <c r="AU1" s="1100"/>
      <c r="AV1" s="1100"/>
      <c r="AW1" s="1100"/>
      <c r="AX1" s="1100"/>
      <c r="AY1" s="1100"/>
      <c r="AZ1" s="1100"/>
    </row>
    <row r="2" spans="1:53" ht="15" thickBot="1" x14ac:dyDescent="0.35">
      <c r="A2" s="1076"/>
      <c r="B2" s="1076"/>
      <c r="C2" s="1076"/>
      <c r="D2" s="1076"/>
      <c r="E2" s="1076"/>
      <c r="F2" s="1076"/>
      <c r="G2" s="1076"/>
      <c r="H2" s="1076"/>
      <c r="I2" s="1076"/>
      <c r="J2" s="1076"/>
      <c r="K2" s="1076"/>
      <c r="L2" s="1076"/>
      <c r="M2" s="1076"/>
      <c r="N2" s="1076"/>
      <c r="O2" s="1076"/>
      <c r="P2" s="1076"/>
      <c r="Q2" s="1076"/>
      <c r="R2" s="1076"/>
      <c r="S2" s="1076"/>
      <c r="T2" s="1076"/>
      <c r="U2" s="1076"/>
      <c r="V2" s="1076"/>
      <c r="W2" s="1076"/>
      <c r="X2" s="1076"/>
      <c r="Y2" s="1076"/>
      <c r="Z2" s="1076"/>
      <c r="AA2" s="1076"/>
      <c r="AB2" s="1076"/>
      <c r="AC2" s="1076"/>
      <c r="AD2" s="1076"/>
      <c r="AE2" s="1076"/>
      <c r="AF2" s="1076"/>
      <c r="AG2" s="1076"/>
      <c r="AH2" s="1076"/>
      <c r="AI2" s="1076"/>
      <c r="AJ2" s="1076"/>
      <c r="AK2" s="1076"/>
      <c r="AL2" s="1076"/>
      <c r="AM2" s="1076"/>
      <c r="AN2" s="1076"/>
      <c r="AO2" s="1076"/>
      <c r="AP2" s="1076"/>
      <c r="AQ2" s="1076"/>
      <c r="AR2" s="1076"/>
      <c r="AS2" s="1076"/>
      <c r="AT2" s="1076"/>
      <c r="AU2" s="1076"/>
      <c r="AV2" s="1076"/>
      <c r="AW2" s="1076"/>
      <c r="AX2" s="1076"/>
      <c r="AY2" s="1076"/>
      <c r="AZ2" s="1076"/>
    </row>
    <row r="3" spans="1:53" ht="39" customHeight="1" thickBot="1" x14ac:dyDescent="0.35">
      <c r="A3" s="1101" t="s">
        <v>0</v>
      </c>
      <c r="B3" s="1106" t="s">
        <v>149</v>
      </c>
      <c r="C3" s="1107"/>
      <c r="D3" s="1106" t="s">
        <v>150</v>
      </c>
      <c r="E3" s="1107"/>
      <c r="F3" s="1105" t="s">
        <v>151</v>
      </c>
      <c r="G3" s="1107"/>
      <c r="H3" s="1106" t="s">
        <v>152</v>
      </c>
      <c r="I3" s="1107"/>
      <c r="J3" s="1105" t="s">
        <v>153</v>
      </c>
      <c r="K3" s="1107"/>
      <c r="L3" s="1106" t="s">
        <v>154</v>
      </c>
      <c r="M3" s="1107"/>
      <c r="N3" s="1106" t="s">
        <v>253</v>
      </c>
      <c r="O3" s="1107"/>
      <c r="P3" s="1041" t="s">
        <v>155</v>
      </c>
      <c r="Q3" s="1041"/>
      <c r="R3" s="1106" t="s">
        <v>156</v>
      </c>
      <c r="S3" s="1107"/>
      <c r="T3" s="1105" t="s">
        <v>157</v>
      </c>
      <c r="U3" s="1105"/>
      <c r="V3" s="1106" t="s">
        <v>158</v>
      </c>
      <c r="W3" s="1107"/>
      <c r="X3" s="1106" t="s">
        <v>159</v>
      </c>
      <c r="Y3" s="1107"/>
      <c r="Z3" s="1041" t="s">
        <v>359</v>
      </c>
      <c r="AA3" s="1041"/>
      <c r="AB3" s="1106" t="s">
        <v>160</v>
      </c>
      <c r="AC3" s="1107"/>
      <c r="AD3" s="1106" t="s">
        <v>161</v>
      </c>
      <c r="AE3" s="1107"/>
      <c r="AF3" s="1106" t="s">
        <v>162</v>
      </c>
      <c r="AG3" s="1105"/>
      <c r="AH3" s="1106" t="s">
        <v>163</v>
      </c>
      <c r="AI3" s="1107"/>
      <c r="AJ3" s="1106" t="s">
        <v>164</v>
      </c>
      <c r="AK3" s="1107"/>
      <c r="AL3" s="1106" t="s">
        <v>165</v>
      </c>
      <c r="AM3" s="1107"/>
      <c r="AN3" s="1105" t="s">
        <v>166</v>
      </c>
      <c r="AO3" s="1105"/>
      <c r="AP3" s="1106" t="s">
        <v>167</v>
      </c>
      <c r="AQ3" s="1107"/>
      <c r="AR3" s="1105" t="s">
        <v>168</v>
      </c>
      <c r="AS3" s="1105"/>
      <c r="AT3" s="1106" t="s">
        <v>169</v>
      </c>
      <c r="AU3" s="1107"/>
      <c r="AV3" s="1105" t="s">
        <v>1</v>
      </c>
      <c r="AW3" s="1105"/>
      <c r="AX3" s="1106" t="s">
        <v>170</v>
      </c>
      <c r="AY3" s="1107"/>
      <c r="AZ3" s="1106" t="s">
        <v>2</v>
      </c>
      <c r="BA3" s="1107"/>
    </row>
    <row r="4" spans="1:53" s="257" customFormat="1" ht="15" thickBot="1" x14ac:dyDescent="0.35">
      <c r="A4" s="1102"/>
      <c r="B4" s="331" t="s">
        <v>370</v>
      </c>
      <c r="C4" s="331" t="s">
        <v>353</v>
      </c>
      <c r="D4" s="331" t="s">
        <v>370</v>
      </c>
      <c r="E4" s="331" t="s">
        <v>353</v>
      </c>
      <c r="F4" s="331" t="s">
        <v>370</v>
      </c>
      <c r="G4" s="331" t="s">
        <v>353</v>
      </c>
      <c r="H4" s="331" t="s">
        <v>370</v>
      </c>
      <c r="I4" s="331" t="s">
        <v>353</v>
      </c>
      <c r="J4" s="331" t="s">
        <v>370</v>
      </c>
      <c r="K4" s="331" t="s">
        <v>353</v>
      </c>
      <c r="L4" s="331" t="s">
        <v>370</v>
      </c>
      <c r="M4" s="331" t="s">
        <v>353</v>
      </c>
      <c r="N4" s="331" t="s">
        <v>370</v>
      </c>
      <c r="O4" s="331" t="s">
        <v>353</v>
      </c>
      <c r="P4" s="331" t="s">
        <v>370</v>
      </c>
      <c r="Q4" s="331" t="s">
        <v>353</v>
      </c>
      <c r="R4" s="331" t="s">
        <v>370</v>
      </c>
      <c r="S4" s="331" t="s">
        <v>353</v>
      </c>
      <c r="T4" s="331" t="s">
        <v>370</v>
      </c>
      <c r="U4" s="331" t="s">
        <v>353</v>
      </c>
      <c r="V4" s="331" t="s">
        <v>370</v>
      </c>
      <c r="W4" s="331" t="s">
        <v>353</v>
      </c>
      <c r="X4" s="331" t="s">
        <v>370</v>
      </c>
      <c r="Y4" s="331" t="s">
        <v>353</v>
      </c>
      <c r="Z4" s="331" t="s">
        <v>370</v>
      </c>
      <c r="AA4" s="331" t="s">
        <v>353</v>
      </c>
      <c r="AB4" s="331" t="s">
        <v>370</v>
      </c>
      <c r="AC4" s="331" t="s">
        <v>353</v>
      </c>
      <c r="AD4" s="331" t="s">
        <v>370</v>
      </c>
      <c r="AE4" s="331" t="s">
        <v>353</v>
      </c>
      <c r="AF4" s="331" t="s">
        <v>370</v>
      </c>
      <c r="AG4" s="331" t="s">
        <v>353</v>
      </c>
      <c r="AH4" s="331" t="s">
        <v>370</v>
      </c>
      <c r="AI4" s="331" t="s">
        <v>353</v>
      </c>
      <c r="AJ4" s="331" t="s">
        <v>370</v>
      </c>
      <c r="AK4" s="331" t="s">
        <v>353</v>
      </c>
      <c r="AL4" s="331" t="s">
        <v>370</v>
      </c>
      <c r="AM4" s="331" t="s">
        <v>353</v>
      </c>
      <c r="AN4" s="331" t="s">
        <v>370</v>
      </c>
      <c r="AO4" s="331" t="s">
        <v>353</v>
      </c>
      <c r="AP4" s="331" t="s">
        <v>370</v>
      </c>
      <c r="AQ4" s="331" t="s">
        <v>353</v>
      </c>
      <c r="AR4" s="331" t="s">
        <v>370</v>
      </c>
      <c r="AS4" s="331" t="s">
        <v>353</v>
      </c>
      <c r="AT4" s="331" t="s">
        <v>370</v>
      </c>
      <c r="AU4" s="331" t="s">
        <v>353</v>
      </c>
      <c r="AV4" s="331" t="s">
        <v>370</v>
      </c>
      <c r="AW4" s="331" t="s">
        <v>353</v>
      </c>
      <c r="AX4" s="331" t="s">
        <v>370</v>
      </c>
      <c r="AY4" s="331" t="s">
        <v>353</v>
      </c>
      <c r="AZ4" s="331" t="s">
        <v>370</v>
      </c>
      <c r="BA4" s="331" t="s">
        <v>353</v>
      </c>
    </row>
    <row r="5" spans="1:53" s="467" customFormat="1" ht="13.5" x14ac:dyDescent="0.25">
      <c r="A5" s="229" t="s">
        <v>3</v>
      </c>
      <c r="B5" s="328">
        <v>44874</v>
      </c>
      <c r="C5" s="326">
        <v>5166</v>
      </c>
      <c r="D5" s="328"/>
      <c r="E5" s="326"/>
      <c r="F5" s="324">
        <v>170</v>
      </c>
      <c r="G5" s="326">
        <v>1146</v>
      </c>
      <c r="H5" s="328">
        <v>1062</v>
      </c>
      <c r="I5" s="326">
        <v>3060</v>
      </c>
      <c r="J5" s="324"/>
      <c r="K5" s="326"/>
      <c r="L5" s="328"/>
      <c r="M5" s="326"/>
      <c r="N5" s="328"/>
      <c r="O5" s="326"/>
      <c r="P5" s="324"/>
      <c r="Q5" s="470">
        <v>38</v>
      </c>
      <c r="R5" s="328"/>
      <c r="S5" s="326"/>
      <c r="T5" s="324">
        <v>6</v>
      </c>
      <c r="U5" s="470">
        <v>288</v>
      </c>
      <c r="V5" s="725">
        <v>2835</v>
      </c>
      <c r="W5" s="726">
        <v>458</v>
      </c>
      <c r="X5" s="324">
        <v>41871</v>
      </c>
      <c r="Y5" s="326">
        <v>33974</v>
      </c>
      <c r="Z5" s="324"/>
      <c r="AA5" s="470"/>
      <c r="AB5" s="224"/>
      <c r="AC5" s="155"/>
      <c r="AD5" s="328">
        <v>-524</v>
      </c>
      <c r="AE5" s="326">
        <v>914</v>
      </c>
      <c r="AF5" s="325">
        <v>907</v>
      </c>
      <c r="AG5" s="470">
        <v>90</v>
      </c>
      <c r="AH5" s="328">
        <v>267</v>
      </c>
      <c r="AI5" s="326">
        <v>425</v>
      </c>
      <c r="AJ5" s="328"/>
      <c r="AK5" s="326"/>
      <c r="AL5" s="328"/>
      <c r="AM5" s="326"/>
      <c r="AN5" s="471">
        <v>52534</v>
      </c>
      <c r="AO5" s="713">
        <v>10796</v>
      </c>
      <c r="AP5" s="328"/>
      <c r="AQ5" s="326"/>
      <c r="AR5" s="324"/>
      <c r="AS5" s="470"/>
      <c r="AT5" s="328">
        <v>6230</v>
      </c>
      <c r="AU5" s="326">
        <v>5358</v>
      </c>
      <c r="AV5" s="324">
        <f t="shared" ref="AV5:AV14" si="0">SUM(B5+D5+F5+H5+J5+L5+N5+P5+R5+T5+V5+X5+Z5+P5+AD5+AF5+AH5+AJ5+AL5+AN5+AP5+AR5+AT5)</f>
        <v>150232</v>
      </c>
      <c r="AW5" s="644">
        <f t="shared" ref="AW5:AW14" si="1">SUM(C5+E5+G5+I5+K5+M5+O5+Q5+S5+U5+W5+Y5+AA5+Q5+AE5+AG5+AI5+AK5+AM5+AO5+AQ5+AS5+AU5)</f>
        <v>61751</v>
      </c>
      <c r="AX5" s="328">
        <v>654901</v>
      </c>
      <c r="AY5" s="326">
        <v>946160</v>
      </c>
      <c r="AZ5" s="328">
        <f t="shared" ref="AZ5:AZ14" si="2">AV5+AX5</f>
        <v>805133</v>
      </c>
      <c r="BA5" s="472">
        <f t="shared" ref="BA5:BA14" si="3">AW5+AY5</f>
        <v>1007911</v>
      </c>
    </row>
    <row r="6" spans="1:53" s="467" customFormat="1" ht="13.5" x14ac:dyDescent="0.25">
      <c r="A6" s="229" t="s">
        <v>4</v>
      </c>
      <c r="B6" s="8">
        <v>316486</v>
      </c>
      <c r="C6" s="326">
        <v>4415</v>
      </c>
      <c r="D6" s="19"/>
      <c r="E6" s="22"/>
      <c r="F6" s="21">
        <v>40475</v>
      </c>
      <c r="G6" s="326">
        <v>2843</v>
      </c>
      <c r="H6" s="19">
        <v>5186348</v>
      </c>
      <c r="I6" s="326">
        <v>4477234</v>
      </c>
      <c r="J6" s="21">
        <v>199661</v>
      </c>
      <c r="K6" s="22">
        <v>30030</v>
      </c>
      <c r="L6" s="19">
        <v>5298158</v>
      </c>
      <c r="M6" s="22">
        <v>3493841</v>
      </c>
      <c r="N6" s="19"/>
      <c r="O6" s="22">
        <v>1</v>
      </c>
      <c r="P6" s="21">
        <v>75241</v>
      </c>
      <c r="Q6" s="470">
        <v>113712</v>
      </c>
      <c r="R6" s="19"/>
      <c r="S6" s="326">
        <v>187</v>
      </c>
      <c r="T6" s="21">
        <v>2299</v>
      </c>
      <c r="U6" s="470">
        <v>4049</v>
      </c>
      <c r="V6" s="19">
        <v>13211726</v>
      </c>
      <c r="W6" s="727">
        <v>9052920</v>
      </c>
      <c r="X6" s="21">
        <v>1260751</v>
      </c>
      <c r="Y6" s="326">
        <v>669303</v>
      </c>
      <c r="Z6" s="468">
        <v>13230</v>
      </c>
      <c r="AA6" s="470">
        <v>8167</v>
      </c>
      <c r="AB6" s="19">
        <v>81835</v>
      </c>
      <c r="AC6" s="22">
        <v>159580</v>
      </c>
      <c r="AD6" s="19">
        <v>1322581</v>
      </c>
      <c r="AE6" s="326">
        <v>1573667</v>
      </c>
      <c r="AF6" s="18">
        <v>1687932</v>
      </c>
      <c r="AG6" s="470">
        <v>1106042</v>
      </c>
      <c r="AH6" s="19">
        <v>311314</v>
      </c>
      <c r="AI6" s="326">
        <v>114620</v>
      </c>
      <c r="AJ6" s="19"/>
      <c r="AK6" s="326"/>
      <c r="AL6" s="19"/>
      <c r="AM6" s="22"/>
      <c r="AN6" s="466">
        <v>497127</v>
      </c>
      <c r="AO6" s="713">
        <v>322269</v>
      </c>
      <c r="AP6" s="19"/>
      <c r="AQ6" s="22"/>
      <c r="AR6" s="17">
        <v>2356972</v>
      </c>
      <c r="AS6" s="470">
        <v>1587420</v>
      </c>
      <c r="AT6" s="19">
        <v>8066</v>
      </c>
      <c r="AU6" s="326">
        <v>2296</v>
      </c>
      <c r="AV6" s="9">
        <f t="shared" si="0"/>
        <v>31863608</v>
      </c>
      <c r="AW6" s="716">
        <f t="shared" si="1"/>
        <v>22676728</v>
      </c>
      <c r="AX6" s="720">
        <v>19826</v>
      </c>
      <c r="AY6" s="326">
        <v>40980</v>
      </c>
      <c r="AZ6" s="8">
        <f t="shared" si="2"/>
        <v>31883434</v>
      </c>
      <c r="BA6" s="215">
        <f t="shared" si="3"/>
        <v>22717708</v>
      </c>
    </row>
    <row r="7" spans="1:53" s="467" customFormat="1" ht="13.5" x14ac:dyDescent="0.25">
      <c r="A7" s="229" t="s">
        <v>5</v>
      </c>
      <c r="B7" s="8">
        <v>727934</v>
      </c>
      <c r="C7" s="326">
        <v>364466</v>
      </c>
      <c r="D7" s="19">
        <v>5809</v>
      </c>
      <c r="E7" s="22">
        <v>1505</v>
      </c>
      <c r="F7" s="21"/>
      <c r="G7" s="326"/>
      <c r="H7" s="19">
        <v>574088</v>
      </c>
      <c r="I7" s="326">
        <v>48397</v>
      </c>
      <c r="J7" s="21">
        <v>31</v>
      </c>
      <c r="K7" s="22">
        <v>324</v>
      </c>
      <c r="L7" s="19">
        <v>7624</v>
      </c>
      <c r="M7" s="22">
        <v>6172</v>
      </c>
      <c r="N7" s="19">
        <v>58697</v>
      </c>
      <c r="O7" s="22">
        <v>14304</v>
      </c>
      <c r="P7" s="21"/>
      <c r="Q7" s="470"/>
      <c r="R7" s="19"/>
      <c r="S7" s="326"/>
      <c r="T7" s="21">
        <v>0</v>
      </c>
      <c r="U7" s="470">
        <v>32</v>
      </c>
      <c r="V7" s="19">
        <v>3032067</v>
      </c>
      <c r="W7" s="727">
        <v>1698935</v>
      </c>
      <c r="X7" s="21">
        <v>869979</v>
      </c>
      <c r="Y7" s="326">
        <v>729228</v>
      </c>
      <c r="Z7" s="468"/>
      <c r="AA7" s="470"/>
      <c r="AB7" s="19">
        <v>160832</v>
      </c>
      <c r="AC7" s="22"/>
      <c r="AD7" s="19">
        <v>2071302</v>
      </c>
      <c r="AE7" s="326">
        <v>1070526</v>
      </c>
      <c r="AF7" s="18">
        <v>9406</v>
      </c>
      <c r="AG7" s="470">
        <v>6340</v>
      </c>
      <c r="AH7" s="19">
        <v>17924</v>
      </c>
      <c r="AI7" s="326">
        <v>7809</v>
      </c>
      <c r="AJ7" s="19"/>
      <c r="AK7" s="326"/>
      <c r="AL7" s="19"/>
      <c r="AM7" s="22"/>
      <c r="AN7" s="466">
        <v>1256</v>
      </c>
      <c r="AO7" s="713">
        <v>3362</v>
      </c>
      <c r="AP7" s="19">
        <v>442550</v>
      </c>
      <c r="AQ7" s="22">
        <v>222982</v>
      </c>
      <c r="AR7" s="17"/>
      <c r="AS7" s="470"/>
      <c r="AT7" s="19">
        <v>412</v>
      </c>
      <c r="AU7" s="326"/>
      <c r="AV7" s="9">
        <f t="shared" si="0"/>
        <v>7819079</v>
      </c>
      <c r="AW7" s="716">
        <f t="shared" si="1"/>
        <v>4174382</v>
      </c>
      <c r="AX7" s="720">
        <v>238902</v>
      </c>
      <c r="AY7" s="326">
        <v>336836</v>
      </c>
      <c r="AZ7" s="8">
        <f t="shared" si="2"/>
        <v>8057981</v>
      </c>
      <c r="BA7" s="215">
        <f t="shared" si="3"/>
        <v>4511218</v>
      </c>
    </row>
    <row r="8" spans="1:53" s="467" customFormat="1" ht="13.5" x14ac:dyDescent="0.25">
      <c r="A8" s="229" t="s">
        <v>6</v>
      </c>
      <c r="B8" s="8">
        <v>381240</v>
      </c>
      <c r="C8" s="326">
        <v>311941</v>
      </c>
      <c r="D8" s="19">
        <v>1218</v>
      </c>
      <c r="E8" s="22">
        <v>31547</v>
      </c>
      <c r="F8" s="21">
        <v>44807</v>
      </c>
      <c r="G8" s="326">
        <v>114381</v>
      </c>
      <c r="H8" s="19">
        <v>559142</v>
      </c>
      <c r="I8" s="326">
        <v>122056</v>
      </c>
      <c r="J8" s="21">
        <v>62</v>
      </c>
      <c r="K8" s="22">
        <v>606</v>
      </c>
      <c r="L8" s="19">
        <v>4787</v>
      </c>
      <c r="M8" s="22">
        <v>93380</v>
      </c>
      <c r="N8" s="19">
        <v>400021</v>
      </c>
      <c r="O8" s="22">
        <v>45476</v>
      </c>
      <c r="P8" s="21">
        <v>279</v>
      </c>
      <c r="Q8" s="470">
        <v>7536</v>
      </c>
      <c r="R8" s="19"/>
      <c r="S8" s="326">
        <v>585565</v>
      </c>
      <c r="T8" s="21">
        <v>15654</v>
      </c>
      <c r="U8" s="470">
        <v>6393</v>
      </c>
      <c r="V8" s="19">
        <v>2098714</v>
      </c>
      <c r="W8" s="727">
        <v>1543199</v>
      </c>
      <c r="X8" s="21">
        <v>1381886</v>
      </c>
      <c r="Y8" s="326">
        <v>958957</v>
      </c>
      <c r="Z8" s="468"/>
      <c r="AA8" s="470"/>
      <c r="AB8" s="19">
        <v>600867</v>
      </c>
      <c r="AC8" s="22">
        <v>539514</v>
      </c>
      <c r="AD8" s="19">
        <v>1367602</v>
      </c>
      <c r="AE8" s="326">
        <v>319642</v>
      </c>
      <c r="AF8" s="18">
        <v>47327</v>
      </c>
      <c r="AG8" s="470">
        <v>41558</v>
      </c>
      <c r="AH8" s="19">
        <v>859462</v>
      </c>
      <c r="AI8" s="326">
        <v>565463</v>
      </c>
      <c r="AJ8" s="19">
        <v>263</v>
      </c>
      <c r="AK8" s="326">
        <v>1308</v>
      </c>
      <c r="AL8" s="19"/>
      <c r="AM8" s="22"/>
      <c r="AN8" s="466">
        <v>449262</v>
      </c>
      <c r="AO8" s="713">
        <v>335157</v>
      </c>
      <c r="AP8" s="19">
        <v>28559</v>
      </c>
      <c r="AQ8" s="22">
        <v>131466</v>
      </c>
      <c r="AR8" s="17">
        <v>132</v>
      </c>
      <c r="AS8" s="470">
        <v>25075</v>
      </c>
      <c r="AT8" s="19">
        <v>422016</v>
      </c>
      <c r="AU8" s="326">
        <v>88412</v>
      </c>
      <c r="AV8" s="9">
        <f t="shared" si="0"/>
        <v>8062712</v>
      </c>
      <c r="AW8" s="716">
        <f t="shared" si="1"/>
        <v>5336654</v>
      </c>
      <c r="AX8" s="720">
        <v>155510</v>
      </c>
      <c r="AY8" s="326">
        <v>345557</v>
      </c>
      <c r="AZ8" s="8">
        <f t="shared" si="2"/>
        <v>8218222</v>
      </c>
      <c r="BA8" s="215">
        <f t="shared" si="3"/>
        <v>5682211</v>
      </c>
    </row>
    <row r="9" spans="1:53" s="467" customFormat="1" ht="13.5" x14ac:dyDescent="0.25">
      <c r="A9" s="229" t="s">
        <v>7</v>
      </c>
      <c r="B9" s="8"/>
      <c r="C9" s="326"/>
      <c r="D9" s="19"/>
      <c r="E9" s="22"/>
      <c r="F9" s="21"/>
      <c r="G9" s="326"/>
      <c r="H9" s="19">
        <v>332596</v>
      </c>
      <c r="I9" s="326">
        <v>675089</v>
      </c>
      <c r="J9" s="21"/>
      <c r="K9" s="22"/>
      <c r="L9" s="19"/>
      <c r="M9" s="22"/>
      <c r="N9" s="19">
        <v>47230</v>
      </c>
      <c r="O9" s="22">
        <v>33656</v>
      </c>
      <c r="P9" s="21"/>
      <c r="Q9" s="470"/>
      <c r="R9" s="19"/>
      <c r="S9" s="326"/>
      <c r="T9" s="21"/>
      <c r="U9" s="470"/>
      <c r="V9" s="19">
        <v>529489</v>
      </c>
      <c r="W9" s="727">
        <v>196599</v>
      </c>
      <c r="X9" s="21"/>
      <c r="Y9" s="326"/>
      <c r="Z9" s="468"/>
      <c r="AA9" s="470"/>
      <c r="AB9" s="19">
        <v>397737</v>
      </c>
      <c r="AC9" s="22"/>
      <c r="AD9" s="19">
        <v>2052642</v>
      </c>
      <c r="AE9" s="326">
        <v>1422458</v>
      </c>
      <c r="AF9" s="18"/>
      <c r="AG9" s="470"/>
      <c r="AH9" s="19"/>
      <c r="AI9" s="326"/>
      <c r="AJ9" s="19"/>
      <c r="AK9" s="326"/>
      <c r="AL9" s="19"/>
      <c r="AM9" s="22"/>
      <c r="AN9" s="466"/>
      <c r="AO9" s="713"/>
      <c r="AP9" s="19"/>
      <c r="AQ9" s="22"/>
      <c r="AR9" s="17"/>
      <c r="AS9" s="470"/>
      <c r="AT9" s="19"/>
      <c r="AU9" s="326"/>
      <c r="AV9" s="9">
        <f t="shared" si="0"/>
        <v>2961957</v>
      </c>
      <c r="AW9" s="716">
        <f t="shared" si="1"/>
        <v>2327802</v>
      </c>
      <c r="AX9" s="720"/>
      <c r="AY9" s="326"/>
      <c r="AZ9" s="8">
        <f t="shared" si="2"/>
        <v>2961957</v>
      </c>
      <c r="BA9" s="215">
        <f t="shared" si="3"/>
        <v>2327802</v>
      </c>
    </row>
    <row r="10" spans="1:53" s="467" customFormat="1" ht="13.5" x14ac:dyDescent="0.25">
      <c r="A10" s="229" t="s">
        <v>8</v>
      </c>
      <c r="B10" s="8">
        <v>1306621</v>
      </c>
      <c r="C10" s="326">
        <v>195126</v>
      </c>
      <c r="D10" s="19">
        <v>2691</v>
      </c>
      <c r="E10" s="22">
        <v>8619</v>
      </c>
      <c r="F10" s="21">
        <v>72887</v>
      </c>
      <c r="G10" s="326">
        <v>38349</v>
      </c>
      <c r="H10" s="19">
        <v>6246356</v>
      </c>
      <c r="I10" s="326">
        <v>6342903</v>
      </c>
      <c r="J10" s="21">
        <v>18018</v>
      </c>
      <c r="K10" s="22">
        <v>210509</v>
      </c>
      <c r="L10" s="19">
        <v>7261</v>
      </c>
      <c r="M10" s="22">
        <v>39305</v>
      </c>
      <c r="N10" s="19">
        <v>55242</v>
      </c>
      <c r="O10" s="22">
        <v>353706</v>
      </c>
      <c r="P10" s="21">
        <v>2870</v>
      </c>
      <c r="Q10" s="470">
        <v>6717</v>
      </c>
      <c r="R10" s="19"/>
      <c r="S10" s="326">
        <v>-151843</v>
      </c>
      <c r="T10" s="21">
        <v>39181</v>
      </c>
      <c r="U10" s="470">
        <v>20872</v>
      </c>
      <c r="V10" s="19">
        <v>9026607</v>
      </c>
      <c r="W10" s="727">
        <v>7113547</v>
      </c>
      <c r="X10" s="21">
        <v>16013780</v>
      </c>
      <c r="Y10" s="326">
        <v>7914003</v>
      </c>
      <c r="Z10" s="468">
        <v>-66</v>
      </c>
      <c r="AA10" s="470">
        <v>1187</v>
      </c>
      <c r="AB10" s="19">
        <v>2463803</v>
      </c>
      <c r="AC10" s="22">
        <v>1822607</v>
      </c>
      <c r="AD10" s="640">
        <v>3561844</v>
      </c>
      <c r="AE10" s="326">
        <v>3451892</v>
      </c>
      <c r="AF10" s="18">
        <v>141137</v>
      </c>
      <c r="AG10" s="470">
        <v>595280</v>
      </c>
      <c r="AH10" s="19">
        <v>226060</v>
      </c>
      <c r="AI10" s="326">
        <v>554258</v>
      </c>
      <c r="AJ10" s="19">
        <v>79878</v>
      </c>
      <c r="AK10" s="326">
        <v>22275</v>
      </c>
      <c r="AL10" s="19"/>
      <c r="AM10" s="22"/>
      <c r="AN10" s="466">
        <v>5253522</v>
      </c>
      <c r="AO10" s="713">
        <v>3201991</v>
      </c>
      <c r="AP10" s="19">
        <v>1693922</v>
      </c>
      <c r="AQ10" s="22">
        <v>1252324</v>
      </c>
      <c r="AR10" s="17">
        <v>57556</v>
      </c>
      <c r="AS10" s="470">
        <v>75342</v>
      </c>
      <c r="AT10" s="19">
        <v>169905</v>
      </c>
      <c r="AU10" s="326">
        <v>155879</v>
      </c>
      <c r="AV10" s="9">
        <f t="shared" si="0"/>
        <v>43978142</v>
      </c>
      <c r="AW10" s="716">
        <f t="shared" si="1"/>
        <v>31408958</v>
      </c>
      <c r="AX10" s="19">
        <v>11721404</v>
      </c>
      <c r="AY10" s="326">
        <v>10034796</v>
      </c>
      <c r="AZ10" s="8">
        <f t="shared" si="2"/>
        <v>55699546</v>
      </c>
      <c r="BA10" s="215">
        <f t="shared" si="3"/>
        <v>41443754</v>
      </c>
    </row>
    <row r="11" spans="1:53" s="467" customFormat="1" thickBot="1" x14ac:dyDescent="0.3">
      <c r="A11" s="229" t="s">
        <v>9</v>
      </c>
      <c r="B11" s="440"/>
      <c r="C11" s="491"/>
      <c r="D11" s="446"/>
      <c r="E11" s="495"/>
      <c r="F11" s="442"/>
      <c r="G11" s="495"/>
      <c r="H11" s="446"/>
      <c r="I11" s="495"/>
      <c r="J11" s="442"/>
      <c r="K11" s="495"/>
      <c r="L11" s="446"/>
      <c r="M11" s="22"/>
      <c r="N11" s="446"/>
      <c r="O11" s="22"/>
      <c r="P11" s="442"/>
      <c r="Q11" s="470"/>
      <c r="R11" s="446"/>
      <c r="S11" s="326"/>
      <c r="T11" s="442"/>
      <c r="U11" s="470"/>
      <c r="V11" s="39"/>
      <c r="W11" s="728"/>
      <c r="X11" s="442">
        <f>443984-1</f>
        <v>443983</v>
      </c>
      <c r="Y11" s="326">
        <f>4960+38+138644</f>
        <v>143642</v>
      </c>
      <c r="Z11" s="496"/>
      <c r="AA11" s="470"/>
      <c r="AB11" s="446"/>
      <c r="AC11" s="495"/>
      <c r="AD11" s="641"/>
      <c r="AE11" s="443"/>
      <c r="AF11" s="494"/>
      <c r="AG11" s="470"/>
      <c r="AH11" s="446"/>
      <c r="AI11" s="326"/>
      <c r="AJ11" s="446"/>
      <c r="AK11" s="495"/>
      <c r="AL11" s="446"/>
      <c r="AM11" s="495"/>
      <c r="AN11" s="497"/>
      <c r="AO11" s="714"/>
      <c r="AP11" s="446"/>
      <c r="AQ11" s="495"/>
      <c r="AR11" s="498"/>
      <c r="AS11" s="712"/>
      <c r="AT11" s="446"/>
      <c r="AU11" s="495"/>
      <c r="AV11" s="445">
        <f t="shared" si="0"/>
        <v>443983</v>
      </c>
      <c r="AW11" s="717">
        <f t="shared" si="1"/>
        <v>143642</v>
      </c>
      <c r="AX11" s="446"/>
      <c r="AY11" s="326"/>
      <c r="AZ11" s="440">
        <f t="shared" si="2"/>
        <v>443983</v>
      </c>
      <c r="BA11" s="441">
        <f t="shared" si="3"/>
        <v>143642</v>
      </c>
    </row>
    <row r="12" spans="1:53" s="257" customFormat="1" ht="15" thickBot="1" x14ac:dyDescent="0.35">
      <c r="A12" s="473" t="s">
        <v>10</v>
      </c>
      <c r="B12" s="429">
        <f t="shared" ref="B12:AG12" si="4">SUM(B5:B11)</f>
        <v>2777155</v>
      </c>
      <c r="C12" s="432">
        <f t="shared" si="4"/>
        <v>881114</v>
      </c>
      <c r="D12" s="429">
        <f t="shared" si="4"/>
        <v>9718</v>
      </c>
      <c r="E12" s="432">
        <f t="shared" si="4"/>
        <v>41671</v>
      </c>
      <c r="F12" s="433">
        <f t="shared" si="4"/>
        <v>158339</v>
      </c>
      <c r="G12" s="432">
        <f t="shared" si="4"/>
        <v>156719</v>
      </c>
      <c r="H12" s="429">
        <f t="shared" si="4"/>
        <v>12899592</v>
      </c>
      <c r="I12" s="432">
        <f t="shared" si="4"/>
        <v>11668739</v>
      </c>
      <c r="J12" s="433">
        <f t="shared" si="4"/>
        <v>217772</v>
      </c>
      <c r="K12" s="432">
        <f t="shared" si="4"/>
        <v>241469</v>
      </c>
      <c r="L12" s="429">
        <f t="shared" si="4"/>
        <v>5317830</v>
      </c>
      <c r="M12" s="432">
        <f t="shared" si="4"/>
        <v>3632698</v>
      </c>
      <c r="N12" s="429">
        <f t="shared" si="4"/>
        <v>561190</v>
      </c>
      <c r="O12" s="432">
        <f t="shared" si="4"/>
        <v>447143</v>
      </c>
      <c r="P12" s="433">
        <f>SUM(P5:P11)</f>
        <v>78390</v>
      </c>
      <c r="Q12" s="492">
        <f>SUM(Q5:Q11)</f>
        <v>128003</v>
      </c>
      <c r="R12" s="429">
        <f t="shared" si="4"/>
        <v>0</v>
      </c>
      <c r="S12" s="432">
        <f t="shared" si="4"/>
        <v>433909</v>
      </c>
      <c r="T12" s="433">
        <f t="shared" si="4"/>
        <v>57140</v>
      </c>
      <c r="U12" s="492">
        <f t="shared" si="4"/>
        <v>31634</v>
      </c>
      <c r="V12" s="723">
        <f t="shared" si="4"/>
        <v>27901438</v>
      </c>
      <c r="W12" s="724">
        <f t="shared" si="4"/>
        <v>19605658</v>
      </c>
      <c r="X12" s="429">
        <f>SUM(X5:X11)</f>
        <v>20012250</v>
      </c>
      <c r="Y12" s="432">
        <f t="shared" si="4"/>
        <v>10449107</v>
      </c>
      <c r="Z12" s="433">
        <f t="shared" si="4"/>
        <v>13164</v>
      </c>
      <c r="AA12" s="492">
        <f t="shared" si="4"/>
        <v>9354</v>
      </c>
      <c r="AB12" s="429">
        <f t="shared" si="4"/>
        <v>3705074</v>
      </c>
      <c r="AC12" s="432">
        <f t="shared" si="4"/>
        <v>2521701</v>
      </c>
      <c r="AD12" s="429">
        <f t="shared" si="4"/>
        <v>10375447</v>
      </c>
      <c r="AE12" s="432">
        <f t="shared" si="4"/>
        <v>7839099</v>
      </c>
      <c r="AF12" s="431">
        <f t="shared" si="4"/>
        <v>1886709</v>
      </c>
      <c r="AG12" s="492">
        <f t="shared" si="4"/>
        <v>1749310</v>
      </c>
      <c r="AH12" s="429">
        <f t="shared" ref="AH12:AU12" si="5">SUM(AH5:AH11)</f>
        <v>1415027</v>
      </c>
      <c r="AI12" s="432">
        <f t="shared" si="5"/>
        <v>1242575</v>
      </c>
      <c r="AJ12" s="429">
        <f t="shared" si="5"/>
        <v>80141</v>
      </c>
      <c r="AK12" s="432">
        <f t="shared" si="5"/>
        <v>23583</v>
      </c>
      <c r="AL12" s="429">
        <f t="shared" si="5"/>
        <v>0</v>
      </c>
      <c r="AM12" s="432">
        <f t="shared" si="5"/>
        <v>0</v>
      </c>
      <c r="AN12" s="433">
        <f t="shared" si="5"/>
        <v>6253701</v>
      </c>
      <c r="AO12" s="492">
        <f t="shared" si="5"/>
        <v>3873575</v>
      </c>
      <c r="AP12" s="429">
        <f t="shared" si="5"/>
        <v>2165031</v>
      </c>
      <c r="AQ12" s="432">
        <f t="shared" si="5"/>
        <v>1606772</v>
      </c>
      <c r="AR12" s="433">
        <f t="shared" si="5"/>
        <v>2414660</v>
      </c>
      <c r="AS12" s="492">
        <f t="shared" si="5"/>
        <v>1687837</v>
      </c>
      <c r="AT12" s="429">
        <f t="shared" si="5"/>
        <v>606629</v>
      </c>
      <c r="AU12" s="432">
        <f t="shared" si="5"/>
        <v>251945</v>
      </c>
      <c r="AV12" s="433">
        <f t="shared" si="0"/>
        <v>95279713</v>
      </c>
      <c r="AW12" s="718">
        <f t="shared" si="1"/>
        <v>66129917</v>
      </c>
      <c r="AX12" s="437">
        <f>SUM(AX5:AX11)</f>
        <v>12790543</v>
      </c>
      <c r="AY12" s="438">
        <f>SUM(AY5:AY11)</f>
        <v>11704329</v>
      </c>
      <c r="AZ12" s="429">
        <f t="shared" si="2"/>
        <v>108070256</v>
      </c>
      <c r="BA12" s="493">
        <f t="shared" si="3"/>
        <v>77834246</v>
      </c>
    </row>
    <row r="13" spans="1:53" ht="15" thickBot="1" x14ac:dyDescent="0.35">
      <c r="A13" s="223" t="s">
        <v>11</v>
      </c>
      <c r="B13" s="499"/>
      <c r="C13" s="500"/>
      <c r="D13" s="550"/>
      <c r="E13" s="503"/>
      <c r="F13" s="501"/>
      <c r="G13" s="503"/>
      <c r="H13" s="550"/>
      <c r="I13" s="503"/>
      <c r="J13" s="722"/>
      <c r="K13" s="504"/>
      <c r="L13" s="550"/>
      <c r="M13" s="503"/>
      <c r="N13" s="550"/>
      <c r="O13" s="503"/>
      <c r="P13" s="501"/>
      <c r="Q13" s="505"/>
      <c r="R13" s="550"/>
      <c r="S13" s="503"/>
      <c r="T13" s="501">
        <v>0</v>
      </c>
      <c r="U13" s="505"/>
      <c r="V13" s="216"/>
      <c r="W13" s="503"/>
      <c r="X13" s="550"/>
      <c r="Y13" s="503"/>
      <c r="Z13" s="501"/>
      <c r="AA13" s="505"/>
      <c r="AB13" s="506"/>
      <c r="AC13" s="507"/>
      <c r="AD13" s="550"/>
      <c r="AE13" s="503"/>
      <c r="AF13" s="502"/>
      <c r="AG13" s="505"/>
      <c r="AH13" s="550"/>
      <c r="AI13" s="503"/>
      <c r="AJ13" s="550"/>
      <c r="AK13" s="503"/>
      <c r="AL13" s="551"/>
      <c r="AM13" s="504"/>
      <c r="AN13" s="508"/>
      <c r="AO13" s="715"/>
      <c r="AP13" s="550"/>
      <c r="AQ13" s="503"/>
      <c r="AR13" s="509">
        <v>0</v>
      </c>
      <c r="AS13" s="711">
        <v>0</v>
      </c>
      <c r="AT13" s="550"/>
      <c r="AU13" s="503"/>
      <c r="AV13" s="511">
        <f t="shared" si="0"/>
        <v>0</v>
      </c>
      <c r="AW13" s="719">
        <f t="shared" si="1"/>
        <v>0</v>
      </c>
      <c r="AX13" s="721"/>
      <c r="AY13" s="510"/>
      <c r="AZ13" s="499">
        <f t="shared" si="2"/>
        <v>0</v>
      </c>
      <c r="BA13" s="512">
        <f t="shared" si="3"/>
        <v>0</v>
      </c>
    </row>
    <row r="14" spans="1:53" s="257" customFormat="1" ht="15" thickBot="1" x14ac:dyDescent="0.35">
      <c r="A14" s="473" t="s">
        <v>12</v>
      </c>
      <c r="B14" s="429">
        <f t="shared" ref="B14:AG14" si="6">B12+B13</f>
        <v>2777155</v>
      </c>
      <c r="C14" s="432">
        <f t="shared" si="6"/>
        <v>881114</v>
      </c>
      <c r="D14" s="429">
        <f t="shared" si="6"/>
        <v>9718</v>
      </c>
      <c r="E14" s="432">
        <f t="shared" si="6"/>
        <v>41671</v>
      </c>
      <c r="F14" s="433">
        <f t="shared" si="6"/>
        <v>158339</v>
      </c>
      <c r="G14" s="432">
        <f t="shared" si="6"/>
        <v>156719</v>
      </c>
      <c r="H14" s="429">
        <f t="shared" si="6"/>
        <v>12899592</v>
      </c>
      <c r="I14" s="432">
        <f t="shared" si="6"/>
        <v>11668739</v>
      </c>
      <c r="J14" s="433">
        <f t="shared" si="6"/>
        <v>217772</v>
      </c>
      <c r="K14" s="432">
        <f t="shared" si="6"/>
        <v>241469</v>
      </c>
      <c r="L14" s="429">
        <f t="shared" si="6"/>
        <v>5317830</v>
      </c>
      <c r="M14" s="432">
        <f t="shared" si="6"/>
        <v>3632698</v>
      </c>
      <c r="N14" s="429">
        <f t="shared" si="6"/>
        <v>561190</v>
      </c>
      <c r="O14" s="432">
        <f t="shared" si="6"/>
        <v>447143</v>
      </c>
      <c r="P14" s="433">
        <f>P12+P13</f>
        <v>78390</v>
      </c>
      <c r="Q14" s="492">
        <f>Q12+Q13</f>
        <v>128003</v>
      </c>
      <c r="R14" s="429">
        <f t="shared" si="6"/>
        <v>0</v>
      </c>
      <c r="S14" s="432">
        <f t="shared" si="6"/>
        <v>433909</v>
      </c>
      <c r="T14" s="433">
        <f t="shared" si="6"/>
        <v>57140</v>
      </c>
      <c r="U14" s="492">
        <f t="shared" si="6"/>
        <v>31634</v>
      </c>
      <c r="V14" s="429">
        <f t="shared" si="6"/>
        <v>27901438</v>
      </c>
      <c r="W14" s="432">
        <f t="shared" si="6"/>
        <v>19605658</v>
      </c>
      <c r="X14" s="429">
        <f t="shared" si="6"/>
        <v>20012250</v>
      </c>
      <c r="Y14" s="432">
        <f t="shared" si="6"/>
        <v>10449107</v>
      </c>
      <c r="Z14" s="433">
        <f t="shared" si="6"/>
        <v>13164</v>
      </c>
      <c r="AA14" s="492">
        <f t="shared" si="6"/>
        <v>9354</v>
      </c>
      <c r="AB14" s="429">
        <f t="shared" si="6"/>
        <v>3705074</v>
      </c>
      <c r="AC14" s="432">
        <f t="shared" si="6"/>
        <v>2521701</v>
      </c>
      <c r="AD14" s="429">
        <f t="shared" si="6"/>
        <v>10375447</v>
      </c>
      <c r="AE14" s="432">
        <f t="shared" si="6"/>
        <v>7839099</v>
      </c>
      <c r="AF14" s="431">
        <f t="shared" si="6"/>
        <v>1886709</v>
      </c>
      <c r="AG14" s="492">
        <f t="shared" si="6"/>
        <v>1749310</v>
      </c>
      <c r="AH14" s="429">
        <f t="shared" ref="AH14:AU14" si="7">AH12+AH13</f>
        <v>1415027</v>
      </c>
      <c r="AI14" s="432">
        <f t="shared" si="7"/>
        <v>1242575</v>
      </c>
      <c r="AJ14" s="429">
        <f t="shared" si="7"/>
        <v>80141</v>
      </c>
      <c r="AK14" s="432">
        <f t="shared" si="7"/>
        <v>23583</v>
      </c>
      <c r="AL14" s="429">
        <f t="shared" si="7"/>
        <v>0</v>
      </c>
      <c r="AM14" s="432">
        <f t="shared" si="7"/>
        <v>0</v>
      </c>
      <c r="AN14" s="433">
        <f t="shared" si="7"/>
        <v>6253701</v>
      </c>
      <c r="AO14" s="492">
        <f t="shared" si="7"/>
        <v>3873575</v>
      </c>
      <c r="AP14" s="429">
        <f t="shared" si="7"/>
        <v>2165031</v>
      </c>
      <c r="AQ14" s="432">
        <f t="shared" si="7"/>
        <v>1606772</v>
      </c>
      <c r="AR14" s="433">
        <f t="shared" si="7"/>
        <v>2414660</v>
      </c>
      <c r="AS14" s="492">
        <f t="shared" si="7"/>
        <v>1687837</v>
      </c>
      <c r="AT14" s="429">
        <f t="shared" si="7"/>
        <v>606629</v>
      </c>
      <c r="AU14" s="432">
        <f t="shared" si="7"/>
        <v>251945</v>
      </c>
      <c r="AV14" s="433">
        <f t="shared" si="0"/>
        <v>95279713</v>
      </c>
      <c r="AW14" s="718">
        <f t="shared" si="1"/>
        <v>66129917</v>
      </c>
      <c r="AX14" s="437">
        <f>AX12+AX13</f>
        <v>12790543</v>
      </c>
      <c r="AY14" s="438">
        <f>AY12+AY13</f>
        <v>11704329</v>
      </c>
      <c r="AZ14" s="429">
        <f t="shared" si="2"/>
        <v>108070256</v>
      </c>
      <c r="BA14" s="493">
        <f t="shared" si="3"/>
        <v>77834246</v>
      </c>
    </row>
  </sheetData>
  <mergeCells count="29">
    <mergeCell ref="B3:C3"/>
    <mergeCell ref="AP3:AQ3"/>
    <mergeCell ref="A1:AZ1"/>
    <mergeCell ref="A2:AZ2"/>
    <mergeCell ref="A3:A4"/>
    <mergeCell ref="Z3:AA3"/>
    <mergeCell ref="AB3:AC3"/>
    <mergeCell ref="D3:E3"/>
    <mergeCell ref="F3:G3"/>
    <mergeCell ref="J3:K3"/>
    <mergeCell ref="H3:I3"/>
    <mergeCell ref="L3:M3"/>
    <mergeCell ref="N3:O3"/>
    <mergeCell ref="P3:Q3"/>
    <mergeCell ref="AZ3:BA3"/>
    <mergeCell ref="AD3:AE3"/>
    <mergeCell ref="AR3:AS3"/>
    <mergeCell ref="AT3:AU3"/>
    <mergeCell ref="AV3:AW3"/>
    <mergeCell ref="AX3:AY3"/>
    <mergeCell ref="R3:S3"/>
    <mergeCell ref="T3:U3"/>
    <mergeCell ref="V3:W3"/>
    <mergeCell ref="X3:Y3"/>
    <mergeCell ref="AJ3:AK3"/>
    <mergeCell ref="AL3:AM3"/>
    <mergeCell ref="AN3:AO3"/>
    <mergeCell ref="AF3:AG3"/>
    <mergeCell ref="AH3:AI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BE21"/>
  <sheetViews>
    <sheetView workbookViewId="0">
      <pane xSplit="1" topLeftCell="B1" activePane="topRight" state="frozen"/>
      <selection pane="topRight" sqref="A1:XFD1048576"/>
    </sheetView>
  </sheetViews>
  <sheetFormatPr defaultRowHeight="16.5" x14ac:dyDescent="0.3"/>
  <cols>
    <col min="1" max="1" width="27.28515625" style="40" bestFit="1" customWidth="1"/>
    <col min="2" max="53" width="12.85546875" style="40" bestFit="1" customWidth="1"/>
    <col min="54" max="16384" width="9.140625" style="40"/>
  </cols>
  <sheetData>
    <row r="1" spans="1:57" ht="17.25" x14ac:dyDescent="0.35">
      <c r="A1" s="1075" t="s">
        <v>242</v>
      </c>
      <c r="B1" s="1075"/>
      <c r="C1" s="1075"/>
      <c r="D1" s="1075"/>
      <c r="E1" s="1075"/>
      <c r="F1" s="1075"/>
      <c r="G1" s="1075"/>
      <c r="H1" s="1075"/>
      <c r="I1" s="1075"/>
      <c r="J1" s="1075"/>
      <c r="K1" s="1075"/>
      <c r="L1" s="1075"/>
      <c r="M1" s="1075"/>
      <c r="N1" s="1075"/>
      <c r="O1" s="1075"/>
      <c r="P1" s="1075"/>
      <c r="Q1" s="1075"/>
      <c r="R1" s="1075"/>
      <c r="S1" s="1075"/>
      <c r="T1" s="1075"/>
      <c r="U1" s="1075"/>
      <c r="V1" s="1075"/>
      <c r="W1" s="1075"/>
      <c r="X1" s="1075"/>
      <c r="Y1" s="1075"/>
      <c r="Z1" s="1075"/>
      <c r="AA1" s="1075"/>
      <c r="AB1" s="1075"/>
      <c r="AC1" s="1075"/>
      <c r="AD1" s="1075"/>
      <c r="AE1" s="1075"/>
      <c r="AF1" s="1075"/>
      <c r="AG1" s="1075"/>
      <c r="AH1" s="1075"/>
      <c r="AI1" s="1075"/>
      <c r="AJ1" s="1075"/>
      <c r="AK1" s="1075"/>
      <c r="AL1" s="1075"/>
      <c r="AM1" s="1075"/>
      <c r="AN1" s="1075"/>
      <c r="AO1" s="1075"/>
      <c r="AP1" s="1075"/>
      <c r="AQ1" s="1075"/>
      <c r="AR1" s="1075"/>
      <c r="AS1" s="1075"/>
      <c r="AT1" s="1075"/>
      <c r="AU1" s="1075"/>
      <c r="AV1" s="1075"/>
      <c r="AW1" s="1075"/>
      <c r="AX1" s="1075"/>
      <c r="AY1" s="1075"/>
      <c r="AZ1" s="1075"/>
    </row>
    <row r="2" spans="1:57" s="390" customFormat="1" ht="18" thickBot="1" x14ac:dyDescent="0.4">
      <c r="A2" s="1108" t="s">
        <v>147</v>
      </c>
      <c r="B2" s="1108"/>
      <c r="C2" s="1108"/>
      <c r="D2" s="1108"/>
      <c r="E2" s="1108"/>
      <c r="F2" s="1108"/>
      <c r="G2" s="1108"/>
      <c r="H2" s="1108"/>
      <c r="I2" s="1108"/>
      <c r="J2" s="1108"/>
      <c r="K2" s="1108"/>
      <c r="L2" s="1108"/>
      <c r="M2" s="1108"/>
      <c r="N2" s="1108"/>
      <c r="O2" s="1108"/>
      <c r="P2" s="1108"/>
      <c r="Q2" s="1108"/>
      <c r="R2" s="1108"/>
      <c r="S2" s="1108"/>
      <c r="T2" s="1108"/>
      <c r="U2" s="1108"/>
      <c r="V2" s="1108"/>
      <c r="W2" s="1108"/>
      <c r="X2" s="1108"/>
      <c r="Y2" s="1108"/>
      <c r="Z2" s="1108"/>
      <c r="AA2" s="1108"/>
      <c r="AB2" s="1108"/>
      <c r="AC2" s="1108"/>
      <c r="AD2" s="1108"/>
      <c r="AE2" s="1108"/>
      <c r="AF2" s="1108"/>
      <c r="AG2" s="1108"/>
      <c r="AH2" s="1108"/>
      <c r="AI2" s="1108"/>
      <c r="AJ2" s="1108"/>
      <c r="AK2" s="1108"/>
      <c r="AL2" s="1108"/>
      <c r="AM2" s="1108"/>
      <c r="AN2" s="1108"/>
      <c r="AO2" s="1108"/>
      <c r="AP2" s="1108"/>
      <c r="AQ2" s="1108"/>
      <c r="AR2" s="1108"/>
      <c r="AS2" s="1108"/>
      <c r="AT2" s="1108"/>
      <c r="AU2" s="1108"/>
      <c r="AV2" s="1108"/>
      <c r="AW2" s="1108"/>
      <c r="AX2" s="1108"/>
      <c r="AY2" s="1108"/>
      <c r="AZ2" s="1108"/>
    </row>
    <row r="3" spans="1:57" s="390" customFormat="1" ht="60.6" customHeight="1" thickBot="1" x14ac:dyDescent="0.35">
      <c r="A3" s="1109" t="s">
        <v>14</v>
      </c>
      <c r="B3" s="1113" t="s">
        <v>149</v>
      </c>
      <c r="C3" s="1114"/>
      <c r="D3" s="1115" t="s">
        <v>150</v>
      </c>
      <c r="E3" s="1112"/>
      <c r="F3" s="1115" t="s">
        <v>151</v>
      </c>
      <c r="G3" s="1112"/>
      <c r="H3" s="1115" t="s">
        <v>152</v>
      </c>
      <c r="I3" s="1112"/>
      <c r="J3" s="1115" t="s">
        <v>153</v>
      </c>
      <c r="K3" s="1112"/>
      <c r="L3" s="1115" t="s">
        <v>154</v>
      </c>
      <c r="M3" s="1112"/>
      <c r="N3" s="1111" t="s">
        <v>253</v>
      </c>
      <c r="O3" s="1112"/>
      <c r="P3" s="1115" t="s">
        <v>155</v>
      </c>
      <c r="Q3" s="1112"/>
      <c r="R3" s="1115" t="s">
        <v>156</v>
      </c>
      <c r="S3" s="1112"/>
      <c r="T3" s="1115" t="s">
        <v>157</v>
      </c>
      <c r="U3" s="1112"/>
      <c r="V3" s="1115" t="s">
        <v>158</v>
      </c>
      <c r="W3" s="1112"/>
      <c r="X3" s="1111" t="s">
        <v>159</v>
      </c>
      <c r="Y3" s="1115"/>
      <c r="Z3" s="1111" t="s">
        <v>359</v>
      </c>
      <c r="AA3" s="1115"/>
      <c r="AB3" s="1111" t="s">
        <v>160</v>
      </c>
      <c r="AC3" s="1115"/>
      <c r="AD3" s="1111" t="s">
        <v>161</v>
      </c>
      <c r="AE3" s="1112"/>
      <c r="AF3" s="1111" t="s">
        <v>162</v>
      </c>
      <c r="AG3" s="1112"/>
      <c r="AH3" s="1111" t="s">
        <v>163</v>
      </c>
      <c r="AI3" s="1112"/>
      <c r="AJ3" s="1115" t="s">
        <v>164</v>
      </c>
      <c r="AK3" s="1115"/>
      <c r="AL3" s="1111" t="s">
        <v>165</v>
      </c>
      <c r="AM3" s="1115"/>
      <c r="AN3" s="1111" t="s">
        <v>166</v>
      </c>
      <c r="AO3" s="1115"/>
      <c r="AP3" s="1111" t="s">
        <v>167</v>
      </c>
      <c r="AQ3" s="1115"/>
      <c r="AR3" s="1111" t="s">
        <v>168</v>
      </c>
      <c r="AS3" s="1115"/>
      <c r="AT3" s="1111" t="s">
        <v>169</v>
      </c>
      <c r="AU3" s="1115"/>
      <c r="AV3" s="1111" t="s">
        <v>1</v>
      </c>
      <c r="AW3" s="1115"/>
      <c r="AX3" s="1111" t="s">
        <v>170</v>
      </c>
      <c r="AY3" s="1115"/>
      <c r="AZ3" s="1111" t="s">
        <v>2</v>
      </c>
      <c r="BA3" s="1112"/>
    </row>
    <row r="4" spans="1:57" s="267" customFormat="1" ht="17.25" thickBot="1" x14ac:dyDescent="0.35">
      <c r="A4" s="1110"/>
      <c r="B4" s="331" t="s">
        <v>370</v>
      </c>
      <c r="C4" s="331" t="s">
        <v>353</v>
      </c>
      <c r="D4" s="331" t="s">
        <v>370</v>
      </c>
      <c r="E4" s="331" t="s">
        <v>353</v>
      </c>
      <c r="F4" s="331" t="s">
        <v>370</v>
      </c>
      <c r="G4" s="331" t="s">
        <v>353</v>
      </c>
      <c r="H4" s="331" t="s">
        <v>370</v>
      </c>
      <c r="I4" s="331" t="s">
        <v>353</v>
      </c>
      <c r="J4" s="331" t="s">
        <v>370</v>
      </c>
      <c r="K4" s="331" t="s">
        <v>353</v>
      </c>
      <c r="L4" s="331" t="s">
        <v>370</v>
      </c>
      <c r="M4" s="331" t="s">
        <v>353</v>
      </c>
      <c r="N4" s="331" t="s">
        <v>370</v>
      </c>
      <c r="O4" s="331" t="s">
        <v>353</v>
      </c>
      <c r="P4" s="331" t="s">
        <v>370</v>
      </c>
      <c r="Q4" s="331" t="s">
        <v>353</v>
      </c>
      <c r="R4" s="331" t="s">
        <v>370</v>
      </c>
      <c r="S4" s="331" t="s">
        <v>353</v>
      </c>
      <c r="T4" s="331" t="s">
        <v>370</v>
      </c>
      <c r="U4" s="331" t="s">
        <v>353</v>
      </c>
      <c r="V4" s="331" t="s">
        <v>370</v>
      </c>
      <c r="W4" s="331" t="s">
        <v>353</v>
      </c>
      <c r="X4" s="331" t="s">
        <v>370</v>
      </c>
      <c r="Y4" s="331" t="s">
        <v>353</v>
      </c>
      <c r="Z4" s="331" t="s">
        <v>370</v>
      </c>
      <c r="AA4" s="331" t="s">
        <v>353</v>
      </c>
      <c r="AB4" s="331" t="s">
        <v>370</v>
      </c>
      <c r="AC4" s="331" t="s">
        <v>353</v>
      </c>
      <c r="AD4" s="331" t="s">
        <v>370</v>
      </c>
      <c r="AE4" s="331" t="s">
        <v>353</v>
      </c>
      <c r="AF4" s="331" t="s">
        <v>370</v>
      </c>
      <c r="AG4" s="331" t="s">
        <v>353</v>
      </c>
      <c r="AH4" s="331" t="s">
        <v>370</v>
      </c>
      <c r="AI4" s="331" t="s">
        <v>353</v>
      </c>
      <c r="AJ4" s="331" t="s">
        <v>370</v>
      </c>
      <c r="AK4" s="331" t="s">
        <v>353</v>
      </c>
      <c r="AL4" s="331" t="s">
        <v>370</v>
      </c>
      <c r="AM4" s="331" t="s">
        <v>353</v>
      </c>
      <c r="AN4" s="331" t="s">
        <v>370</v>
      </c>
      <c r="AO4" s="331" t="s">
        <v>353</v>
      </c>
      <c r="AP4" s="331" t="s">
        <v>370</v>
      </c>
      <c r="AQ4" s="331" t="s">
        <v>353</v>
      </c>
      <c r="AR4" s="331" t="s">
        <v>370</v>
      </c>
      <c r="AS4" s="331" t="s">
        <v>353</v>
      </c>
      <c r="AT4" s="331" t="s">
        <v>370</v>
      </c>
      <c r="AU4" s="331" t="s">
        <v>353</v>
      </c>
      <c r="AV4" s="331" t="s">
        <v>370</v>
      </c>
      <c r="AW4" s="331" t="s">
        <v>353</v>
      </c>
      <c r="AX4" s="331" t="s">
        <v>370</v>
      </c>
      <c r="AY4" s="331" t="s">
        <v>353</v>
      </c>
      <c r="AZ4" s="331" t="s">
        <v>370</v>
      </c>
      <c r="BA4" s="331" t="s">
        <v>353</v>
      </c>
      <c r="BB4" s="323"/>
      <c r="BC4" s="323"/>
      <c r="BD4" s="323"/>
      <c r="BE4" s="323"/>
    </row>
    <row r="5" spans="1:57" ht="17.25" x14ac:dyDescent="0.35">
      <c r="A5" s="171" t="s">
        <v>3</v>
      </c>
      <c r="B5" s="729">
        <v>358.07</v>
      </c>
      <c r="C5" s="730">
        <v>364.2</v>
      </c>
      <c r="D5" s="239"/>
      <c r="E5" s="238">
        <v>-1E-3</v>
      </c>
      <c r="F5" s="239">
        <v>14.1</v>
      </c>
      <c r="G5" s="238">
        <v>19.02</v>
      </c>
      <c r="H5" s="239">
        <v>776.77</v>
      </c>
      <c r="I5" s="238">
        <v>592.71</v>
      </c>
      <c r="J5" s="239">
        <v>144</v>
      </c>
      <c r="K5" s="238">
        <v>137.53</v>
      </c>
      <c r="L5" s="239">
        <v>1.45</v>
      </c>
      <c r="M5" s="238">
        <v>2.27</v>
      </c>
      <c r="N5" s="235">
        <v>28.14</v>
      </c>
      <c r="O5" s="238">
        <v>22.66</v>
      </c>
      <c r="P5" s="735">
        <v>77.13</v>
      </c>
      <c r="Q5" s="33">
        <v>76.77</v>
      </c>
      <c r="R5" s="32"/>
      <c r="S5" s="33">
        <v>226.68</v>
      </c>
      <c r="T5" s="32">
        <v>17.63</v>
      </c>
      <c r="U5" s="33">
        <v>6.78</v>
      </c>
      <c r="V5" s="32">
        <v>693.31</v>
      </c>
      <c r="W5" s="33">
        <v>620.5</v>
      </c>
      <c r="X5" s="24">
        <v>1156.24</v>
      </c>
      <c r="Y5" s="411">
        <v>1069.8</v>
      </c>
      <c r="Z5" s="414">
        <v>8.57</v>
      </c>
      <c r="AA5" s="741">
        <v>13.97</v>
      </c>
      <c r="AB5" s="235">
        <v>26.27</v>
      </c>
      <c r="AC5" s="237">
        <v>18.21</v>
      </c>
      <c r="AD5" s="235">
        <v>324.35000000000002</v>
      </c>
      <c r="AE5" s="238">
        <v>166.06</v>
      </c>
      <c r="AF5" s="235">
        <v>761.96</v>
      </c>
      <c r="AG5" s="238">
        <v>675.93</v>
      </c>
      <c r="AH5" s="235">
        <v>68.650000000000006</v>
      </c>
      <c r="AI5" s="238">
        <v>26.35</v>
      </c>
      <c r="AJ5" s="236">
        <v>167.79</v>
      </c>
      <c r="AK5" s="237">
        <v>157.69999999999999</v>
      </c>
      <c r="AL5" s="235"/>
      <c r="AM5" s="237"/>
      <c r="AN5" s="552">
        <v>2020</v>
      </c>
      <c r="AO5" s="749">
        <v>1851.04</v>
      </c>
      <c r="AP5" s="235">
        <v>13.72</v>
      </c>
      <c r="AQ5" s="237">
        <v>14.62</v>
      </c>
      <c r="AR5" s="240">
        <v>0.52</v>
      </c>
      <c r="AS5" s="742">
        <v>0.02</v>
      </c>
      <c r="AT5" s="235">
        <v>691.69</v>
      </c>
      <c r="AU5" s="237">
        <v>427.23</v>
      </c>
      <c r="AV5" s="241">
        <f t="shared" ref="AV5:AV20" si="0">SUM(B5+D5+F5+H5+J5+L5+N5+P5+R5+T5+V5+X5+Z5+AB5+AD5+AF5+AH5+AJ5+AL5+AN5+AP5+AR5+AT5)</f>
        <v>7350.3600000000006</v>
      </c>
      <c r="AW5" s="745">
        <f t="shared" ref="AW5:AW20" si="1">SUM(C5+E5+G5+I5+K5+M5+O5+Q5+S5+U5+W5+Y5+AA5+AC5+AE5+AG5+AI5+AK5+AM5+AO5+AQ5+AS5+AU5)</f>
        <v>6490.0489999999991</v>
      </c>
      <c r="AX5" s="240">
        <v>23543.34</v>
      </c>
      <c r="AY5" s="240">
        <v>21203.31</v>
      </c>
      <c r="AZ5" s="241">
        <f t="shared" ref="AZ5:AZ20" si="2">AV5+AX5</f>
        <v>30893.7</v>
      </c>
      <c r="BA5" s="242">
        <f t="shared" ref="BA5:BA20" si="3">AW5+AY5</f>
        <v>27693.359</v>
      </c>
    </row>
    <row r="6" spans="1:57" ht="17.25" x14ac:dyDescent="0.35">
      <c r="A6" s="62" t="s">
        <v>4</v>
      </c>
      <c r="B6" s="217">
        <v>790.23</v>
      </c>
      <c r="C6" s="730">
        <v>558.66</v>
      </c>
      <c r="D6" s="46"/>
      <c r="E6" s="238"/>
      <c r="F6" s="46">
        <v>29.43</v>
      </c>
      <c r="G6" s="238">
        <v>20.14</v>
      </c>
      <c r="H6" s="46">
        <v>897.74</v>
      </c>
      <c r="I6" s="238">
        <v>451.83</v>
      </c>
      <c r="J6" s="46">
        <v>27.55</v>
      </c>
      <c r="K6" s="238">
        <v>18.7</v>
      </c>
      <c r="L6" s="239">
        <v>675.69</v>
      </c>
      <c r="M6" s="238">
        <v>611.4</v>
      </c>
      <c r="N6" s="41"/>
      <c r="O6" s="238">
        <v>0.02</v>
      </c>
      <c r="P6" s="736">
        <v>55.46</v>
      </c>
      <c r="Q6" s="33">
        <v>37.659999999999997</v>
      </c>
      <c r="R6" s="13"/>
      <c r="S6" s="33">
        <v>15.78</v>
      </c>
      <c r="T6" s="13">
        <v>19.37</v>
      </c>
      <c r="U6" s="33">
        <v>14.41</v>
      </c>
      <c r="V6" s="13">
        <v>2393.7600000000002</v>
      </c>
      <c r="W6" s="33">
        <v>2142.11</v>
      </c>
      <c r="X6" s="2">
        <v>1496.99</v>
      </c>
      <c r="Y6" s="411">
        <v>1790.76</v>
      </c>
      <c r="Z6" s="160">
        <v>210.14</v>
      </c>
      <c r="AA6" s="741">
        <v>205.35</v>
      </c>
      <c r="AB6" s="41">
        <v>671.84</v>
      </c>
      <c r="AC6" s="237">
        <v>456.25</v>
      </c>
      <c r="AD6" s="41">
        <v>681.95</v>
      </c>
      <c r="AE6" s="238">
        <v>618.45000000000005</v>
      </c>
      <c r="AF6" s="41">
        <v>1772.6</v>
      </c>
      <c r="AG6" s="238">
        <v>1383.78</v>
      </c>
      <c r="AH6" s="41">
        <v>569.20000000000005</v>
      </c>
      <c r="AI6" s="238">
        <v>407.65</v>
      </c>
      <c r="AJ6" s="42">
        <v>8.44</v>
      </c>
      <c r="AK6" s="237">
        <v>5.5</v>
      </c>
      <c r="AL6" s="41"/>
      <c r="AM6" s="237"/>
      <c r="AN6" s="536">
        <v>5660.41</v>
      </c>
      <c r="AO6" s="749">
        <v>4110.55</v>
      </c>
      <c r="AP6" s="41"/>
      <c r="AQ6" s="237">
        <v>1.88</v>
      </c>
      <c r="AR6" s="48">
        <v>603.92999999999995</v>
      </c>
      <c r="AS6" s="742">
        <v>453.22</v>
      </c>
      <c r="AT6" s="41">
        <v>1414.04</v>
      </c>
      <c r="AU6" s="237">
        <v>1050.55</v>
      </c>
      <c r="AV6" s="241">
        <f t="shared" si="0"/>
        <v>17978.77</v>
      </c>
      <c r="AW6" s="745">
        <f t="shared" si="1"/>
        <v>14354.649999999998</v>
      </c>
      <c r="AX6" s="48">
        <v>741.75</v>
      </c>
      <c r="AY6" s="48">
        <v>459.67</v>
      </c>
      <c r="AZ6" s="49">
        <f t="shared" si="2"/>
        <v>18720.52</v>
      </c>
      <c r="BA6" s="172">
        <f t="shared" si="3"/>
        <v>14814.319999999998</v>
      </c>
    </row>
    <row r="7" spans="1:57" ht="17.25" x14ac:dyDescent="0.35">
      <c r="A7" s="62" t="s">
        <v>5</v>
      </c>
      <c r="B7" s="217">
        <v>3.31</v>
      </c>
      <c r="C7" s="730">
        <v>3.74</v>
      </c>
      <c r="D7" s="46">
        <v>-0.2</v>
      </c>
      <c r="E7" s="238">
        <v>-0.2</v>
      </c>
      <c r="F7" s="46">
        <v>2.61</v>
      </c>
      <c r="G7" s="238">
        <v>3.36</v>
      </c>
      <c r="H7" s="46">
        <v>51.78</v>
      </c>
      <c r="I7" s="238">
        <v>32.299999999999997</v>
      </c>
      <c r="J7" s="46">
        <v>57.7</v>
      </c>
      <c r="K7" s="238">
        <v>63.48</v>
      </c>
      <c r="L7" s="46">
        <v>11.15</v>
      </c>
      <c r="M7" s="44">
        <v>0.17</v>
      </c>
      <c r="N7" s="41">
        <v>15.92</v>
      </c>
      <c r="O7" s="238">
        <v>7.05</v>
      </c>
      <c r="P7" s="736">
        <v>15.57</v>
      </c>
      <c r="Q7" s="33">
        <v>15.98</v>
      </c>
      <c r="R7" s="13"/>
      <c r="S7" s="33">
        <v>3.13</v>
      </c>
      <c r="T7" s="13">
        <v>12.82</v>
      </c>
      <c r="U7" s="33">
        <v>4.96</v>
      </c>
      <c r="V7" s="13">
        <v>275.02</v>
      </c>
      <c r="W7" s="33">
        <v>200.51</v>
      </c>
      <c r="X7" s="2">
        <v>197.07</v>
      </c>
      <c r="Y7" s="411">
        <v>157.52000000000001</v>
      </c>
      <c r="Z7" s="160"/>
      <c r="AA7" s="741"/>
      <c r="AB7" s="41">
        <v>4.17</v>
      </c>
      <c r="AC7" s="237">
        <v>10.029999999999999</v>
      </c>
      <c r="AD7" s="41">
        <v>12.09</v>
      </c>
      <c r="AE7" s="238">
        <v>3.94</v>
      </c>
      <c r="AF7" s="41">
        <v>46.68</v>
      </c>
      <c r="AG7" s="238">
        <v>38.35</v>
      </c>
      <c r="AH7" s="41">
        <v>16.8</v>
      </c>
      <c r="AI7" s="238">
        <v>12.45</v>
      </c>
      <c r="AJ7" s="42">
        <v>22.75</v>
      </c>
      <c r="AK7" s="237">
        <v>19.11</v>
      </c>
      <c r="AL7" s="41"/>
      <c r="AM7" s="237"/>
      <c r="AN7" s="537">
        <v>250.52</v>
      </c>
      <c r="AO7" s="749">
        <v>162.99</v>
      </c>
      <c r="AP7" s="41">
        <v>119.29</v>
      </c>
      <c r="AQ7" s="237">
        <v>124.05</v>
      </c>
      <c r="AR7" s="48"/>
      <c r="AS7" s="742"/>
      <c r="AT7" s="41">
        <v>48.23</v>
      </c>
      <c r="AU7" s="237">
        <v>29.84</v>
      </c>
      <c r="AV7" s="241">
        <f t="shared" si="0"/>
        <v>1163.28</v>
      </c>
      <c r="AW7" s="745">
        <f t="shared" si="1"/>
        <v>892.76</v>
      </c>
      <c r="AX7" s="48">
        <v>24.26</v>
      </c>
      <c r="AY7" s="48">
        <v>21.97</v>
      </c>
      <c r="AZ7" s="49">
        <f t="shared" si="2"/>
        <v>1187.54</v>
      </c>
      <c r="BA7" s="172">
        <f t="shared" si="3"/>
        <v>914.73</v>
      </c>
    </row>
    <row r="8" spans="1:57" ht="17.25" x14ac:dyDescent="0.35">
      <c r="A8" s="62" t="s">
        <v>6</v>
      </c>
      <c r="B8" s="217">
        <v>11.74</v>
      </c>
      <c r="C8" s="730">
        <v>8.7200000000000006</v>
      </c>
      <c r="D8" s="46">
        <v>0.41</v>
      </c>
      <c r="E8" s="238">
        <v>1.29</v>
      </c>
      <c r="F8" s="46">
        <v>3.4</v>
      </c>
      <c r="G8" s="238">
        <v>0.78</v>
      </c>
      <c r="H8" s="46">
        <v>172.65</v>
      </c>
      <c r="I8" s="238">
        <v>65.92</v>
      </c>
      <c r="J8" s="46">
        <v>61.67</v>
      </c>
      <c r="K8" s="238">
        <v>46.76</v>
      </c>
      <c r="L8" s="46">
        <v>13.46</v>
      </c>
      <c r="M8" s="44">
        <v>1.81</v>
      </c>
      <c r="N8" s="41">
        <v>-0.02</v>
      </c>
      <c r="O8" s="238">
        <v>-0.01</v>
      </c>
      <c r="P8" s="736">
        <v>3.64</v>
      </c>
      <c r="Q8" s="33">
        <v>8.41</v>
      </c>
      <c r="R8" s="13"/>
      <c r="S8" s="33">
        <v>62.85</v>
      </c>
      <c r="T8" s="13">
        <v>5.33</v>
      </c>
      <c r="U8" s="33">
        <v>2.73</v>
      </c>
      <c r="V8" s="13">
        <v>260.72000000000003</v>
      </c>
      <c r="W8" s="33">
        <v>226.15</v>
      </c>
      <c r="X8" s="2">
        <v>222.59</v>
      </c>
      <c r="Y8" s="411">
        <v>148.43</v>
      </c>
      <c r="Z8" s="160">
        <v>18</v>
      </c>
      <c r="AA8" s="741">
        <v>17.829999999999998</v>
      </c>
      <c r="AB8" s="41">
        <v>16.82</v>
      </c>
      <c r="AC8" s="237">
        <v>9.31</v>
      </c>
      <c r="AD8" s="41">
        <v>27.2</v>
      </c>
      <c r="AE8" s="238">
        <v>23.72</v>
      </c>
      <c r="AF8" s="41">
        <v>85.31</v>
      </c>
      <c r="AG8" s="238">
        <v>5.07</v>
      </c>
      <c r="AH8" s="41">
        <v>35.590000000000003</v>
      </c>
      <c r="AI8" s="238">
        <v>14.68</v>
      </c>
      <c r="AJ8" s="42">
        <v>17.8</v>
      </c>
      <c r="AK8" s="237">
        <v>8.06</v>
      </c>
      <c r="AL8" s="41"/>
      <c r="AM8" s="237"/>
      <c r="AN8" s="537">
        <v>1.48</v>
      </c>
      <c r="AO8" s="749">
        <v>0.9</v>
      </c>
      <c r="AP8" s="41">
        <v>26.38</v>
      </c>
      <c r="AQ8" s="237">
        <v>16.68</v>
      </c>
      <c r="AR8" s="48">
        <v>3.06</v>
      </c>
      <c r="AS8" s="742">
        <v>-8.9999999999999993E-3</v>
      </c>
      <c r="AT8" s="41">
        <v>474.02</v>
      </c>
      <c r="AU8" s="237">
        <v>158.9</v>
      </c>
      <c r="AV8" s="241">
        <f t="shared" si="0"/>
        <v>1461.25</v>
      </c>
      <c r="AW8" s="745">
        <f t="shared" si="1"/>
        <v>828.98099999999977</v>
      </c>
      <c r="AX8" s="48">
        <v>22.41</v>
      </c>
      <c r="AY8" s="48">
        <v>5.82</v>
      </c>
      <c r="AZ8" s="49">
        <f t="shared" si="2"/>
        <v>1483.66</v>
      </c>
      <c r="BA8" s="172">
        <f t="shared" si="3"/>
        <v>834.80099999999982</v>
      </c>
    </row>
    <row r="9" spans="1:57" ht="17.25" x14ac:dyDescent="0.35">
      <c r="A9" s="62" t="s">
        <v>7</v>
      </c>
      <c r="B9" s="50"/>
      <c r="C9" s="730"/>
      <c r="D9" s="47"/>
      <c r="E9" s="238"/>
      <c r="F9" s="47"/>
      <c r="G9" s="238"/>
      <c r="H9" s="47"/>
      <c r="I9" s="238"/>
      <c r="J9" s="47"/>
      <c r="K9" s="238"/>
      <c r="L9" s="46"/>
      <c r="M9" s="44"/>
      <c r="N9" s="49"/>
      <c r="O9" s="238"/>
      <c r="P9" s="736"/>
      <c r="Q9" s="33"/>
      <c r="R9" s="20"/>
      <c r="S9" s="33"/>
      <c r="T9" s="20"/>
      <c r="U9" s="33"/>
      <c r="V9" s="20"/>
      <c r="W9" s="33"/>
      <c r="X9" s="5"/>
      <c r="Y9" s="411"/>
      <c r="Z9" s="160"/>
      <c r="AA9" s="741"/>
      <c r="AB9" s="49"/>
      <c r="AC9" s="237"/>
      <c r="AD9" s="415">
        <v>0.03</v>
      </c>
      <c r="AE9" s="238">
        <v>0.03</v>
      </c>
      <c r="AF9" s="49"/>
      <c r="AG9" s="238"/>
      <c r="AH9" s="49"/>
      <c r="AI9" s="238"/>
      <c r="AJ9" s="51"/>
      <c r="AK9" s="237"/>
      <c r="AL9" s="41"/>
      <c r="AM9" s="237"/>
      <c r="AN9" s="538"/>
      <c r="AO9" s="749"/>
      <c r="AP9" s="41"/>
      <c r="AQ9" s="237"/>
      <c r="AR9" s="48"/>
      <c r="AS9" s="742"/>
      <c r="AT9" s="49">
        <v>1.01</v>
      </c>
      <c r="AU9" s="237">
        <v>0.36</v>
      </c>
      <c r="AV9" s="241">
        <f t="shared" si="0"/>
        <v>1.04</v>
      </c>
      <c r="AW9" s="745">
        <f t="shared" si="1"/>
        <v>0.39</v>
      </c>
      <c r="AX9" s="49">
        <v>82.26</v>
      </c>
      <c r="AY9" s="49">
        <v>85.74</v>
      </c>
      <c r="AZ9" s="49">
        <f t="shared" si="2"/>
        <v>83.300000000000011</v>
      </c>
      <c r="BA9" s="172">
        <f t="shared" si="3"/>
        <v>86.13</v>
      </c>
    </row>
    <row r="10" spans="1:57" ht="17.25" x14ac:dyDescent="0.35">
      <c r="A10" s="62" t="s">
        <v>15</v>
      </c>
      <c r="B10" s="217"/>
      <c r="C10" s="730"/>
      <c r="D10" s="46"/>
      <c r="E10" s="238"/>
      <c r="F10" s="46"/>
      <c r="G10" s="238"/>
      <c r="H10" s="46"/>
      <c r="I10" s="238"/>
      <c r="J10" s="46"/>
      <c r="K10" s="238"/>
      <c r="L10" s="46"/>
      <c r="M10" s="44"/>
      <c r="N10" s="41"/>
      <c r="O10" s="238"/>
      <c r="P10" s="736"/>
      <c r="Q10" s="33"/>
      <c r="R10" s="13"/>
      <c r="S10" s="33"/>
      <c r="T10" s="13"/>
      <c r="U10" s="33"/>
      <c r="V10" s="13"/>
      <c r="W10" s="33"/>
      <c r="X10" s="2"/>
      <c r="Y10" s="411"/>
      <c r="Z10" s="1"/>
      <c r="AA10" s="741"/>
      <c r="AB10" s="41">
        <v>2.8</v>
      </c>
      <c r="AC10" s="237">
        <v>2.61</v>
      </c>
      <c r="AD10" s="41">
        <v>7.0000000000000007E-2</v>
      </c>
      <c r="AE10" s="238">
        <v>5.0000000000000001E-3</v>
      </c>
      <c r="AF10" s="41"/>
      <c r="AG10" s="238"/>
      <c r="AH10" s="41"/>
      <c r="AI10" s="238"/>
      <c r="AJ10" s="42"/>
      <c r="AK10" s="237"/>
      <c r="AL10" s="41"/>
      <c r="AM10" s="237"/>
      <c r="AN10" s="537"/>
      <c r="AO10" s="749"/>
      <c r="AP10" s="41"/>
      <c r="AQ10" s="237"/>
      <c r="AR10" s="48"/>
      <c r="AS10" s="742"/>
      <c r="AT10" s="41"/>
      <c r="AU10" s="237"/>
      <c r="AV10" s="241">
        <f t="shared" si="0"/>
        <v>2.8699999999999997</v>
      </c>
      <c r="AW10" s="745">
        <f t="shared" si="1"/>
        <v>2.6149999999999998</v>
      </c>
      <c r="AX10" s="48">
        <v>0.85</v>
      </c>
      <c r="AY10" s="48">
        <v>18.36</v>
      </c>
      <c r="AZ10" s="49">
        <f t="shared" si="2"/>
        <v>3.7199999999999998</v>
      </c>
      <c r="BA10" s="172">
        <f t="shared" si="3"/>
        <v>20.974999999999998</v>
      </c>
    </row>
    <row r="11" spans="1:57" ht="17.25" x14ac:dyDescent="0.35">
      <c r="A11" s="62" t="s">
        <v>358</v>
      </c>
      <c r="B11" s="217"/>
      <c r="C11" s="730"/>
      <c r="D11" s="46"/>
      <c r="E11" s="238"/>
      <c r="F11" s="46"/>
      <c r="G11" s="238"/>
      <c r="H11" s="46"/>
      <c r="I11" s="238"/>
      <c r="J11" s="46"/>
      <c r="K11" s="238"/>
      <c r="L11" s="46"/>
      <c r="M11" s="44"/>
      <c r="N11" s="41"/>
      <c r="O11" s="238"/>
      <c r="P11" s="736"/>
      <c r="Q11" s="33"/>
      <c r="R11" s="13"/>
      <c r="S11" s="33"/>
      <c r="T11" s="13"/>
      <c r="U11" s="33"/>
      <c r="V11" s="13"/>
      <c r="W11" s="33"/>
      <c r="X11" s="2"/>
      <c r="Y11" s="411"/>
      <c r="Z11" s="1"/>
      <c r="AA11" s="741"/>
      <c r="AB11" s="41">
        <v>17.89</v>
      </c>
      <c r="AC11" s="237">
        <v>26.88</v>
      </c>
      <c r="AD11" s="41"/>
      <c r="AE11" s="238"/>
      <c r="AF11" s="41"/>
      <c r="AG11" s="238"/>
      <c r="AH11" s="41"/>
      <c r="AI11" s="238"/>
      <c r="AJ11" s="42"/>
      <c r="AK11" s="237"/>
      <c r="AL11" s="41"/>
      <c r="AM11" s="237"/>
      <c r="AN11" s="537"/>
      <c r="AO11" s="749"/>
      <c r="AP11" s="41"/>
      <c r="AQ11" s="237"/>
      <c r="AR11" s="48"/>
      <c r="AS11" s="742"/>
      <c r="AT11" s="41"/>
      <c r="AU11" s="237"/>
      <c r="AV11" s="241">
        <f t="shared" si="0"/>
        <v>17.89</v>
      </c>
      <c r="AW11" s="745">
        <f t="shared" si="1"/>
        <v>26.88</v>
      </c>
      <c r="AX11" s="48"/>
      <c r="AY11" s="48"/>
      <c r="AZ11" s="49">
        <f t="shared" si="2"/>
        <v>17.89</v>
      </c>
      <c r="BA11" s="172">
        <f t="shared" si="3"/>
        <v>26.88</v>
      </c>
    </row>
    <row r="12" spans="1:57" ht="17.25" x14ac:dyDescent="0.35">
      <c r="A12" s="62" t="s">
        <v>357</v>
      </c>
      <c r="B12" s="217">
        <v>2.8</v>
      </c>
      <c r="C12" s="730">
        <v>2.56</v>
      </c>
      <c r="D12" s="46">
        <v>0.23</v>
      </c>
      <c r="E12" s="238">
        <v>1.36</v>
      </c>
      <c r="F12" s="46">
        <v>0.55000000000000004</v>
      </c>
      <c r="G12" s="238">
        <v>0.56000000000000005</v>
      </c>
      <c r="H12" s="46">
        <v>8.4700000000000006</v>
      </c>
      <c r="I12" s="238">
        <v>8.44</v>
      </c>
      <c r="J12" s="46">
        <v>7.77</v>
      </c>
      <c r="K12" s="238">
        <v>13.33</v>
      </c>
      <c r="L12" s="46">
        <v>2.09</v>
      </c>
      <c r="M12" s="44">
        <v>5.57</v>
      </c>
      <c r="N12" s="41"/>
      <c r="O12" s="238"/>
      <c r="P12" s="736">
        <v>1.46</v>
      </c>
      <c r="Q12" s="33">
        <v>3.37</v>
      </c>
      <c r="R12" s="13"/>
      <c r="S12" s="33"/>
      <c r="T12" s="13">
        <v>0.68</v>
      </c>
      <c r="U12" s="33">
        <v>1.04</v>
      </c>
      <c r="V12" s="13">
        <v>471.74</v>
      </c>
      <c r="W12" s="33">
        <v>558.36</v>
      </c>
      <c r="X12" s="2">
        <v>85.57</v>
      </c>
      <c r="Y12" s="411">
        <v>90.78</v>
      </c>
      <c r="Z12" s="1"/>
      <c r="AA12" s="741">
        <v>1.9E-2</v>
      </c>
      <c r="AB12" s="41"/>
      <c r="AC12" s="237"/>
      <c r="AD12" s="41">
        <v>5.78</v>
      </c>
      <c r="AE12" s="238">
        <v>1.51</v>
      </c>
      <c r="AF12" s="41">
        <v>36.200000000000003</v>
      </c>
      <c r="AG12" s="238">
        <v>27.74</v>
      </c>
      <c r="AH12" s="41">
        <v>0.32</v>
      </c>
      <c r="AI12" s="238">
        <v>1.33</v>
      </c>
      <c r="AJ12" s="42"/>
      <c r="AK12" s="237">
        <v>0.13</v>
      </c>
      <c r="AL12" s="41"/>
      <c r="AM12" s="237"/>
      <c r="AN12" s="537">
        <v>10.62</v>
      </c>
      <c r="AO12" s="749">
        <v>11.31</v>
      </c>
      <c r="AP12" s="41">
        <v>2.65</v>
      </c>
      <c r="AQ12" s="237">
        <v>1.68</v>
      </c>
      <c r="AR12" s="48"/>
      <c r="AS12" s="742"/>
      <c r="AT12" s="41">
        <v>39.21</v>
      </c>
      <c r="AU12" s="237">
        <v>6.29</v>
      </c>
      <c r="AV12" s="241"/>
      <c r="AW12" s="745"/>
      <c r="AX12" s="48">
        <v>31.77</v>
      </c>
      <c r="AY12" s="48">
        <v>49.11</v>
      </c>
      <c r="AZ12" s="49"/>
      <c r="BA12" s="172"/>
    </row>
    <row r="13" spans="1:57" ht="17.25" x14ac:dyDescent="0.35">
      <c r="A13" s="62" t="s">
        <v>74</v>
      </c>
      <c r="B13" s="217">
        <v>84.21</v>
      </c>
      <c r="C13" s="730">
        <v>40.200000000000003</v>
      </c>
      <c r="D13" s="46"/>
      <c r="E13" s="238">
        <v>2.61</v>
      </c>
      <c r="F13" s="46">
        <v>23.44</v>
      </c>
      <c r="G13" s="238">
        <v>25.26</v>
      </c>
      <c r="H13" s="46">
        <v>292.72000000000003</v>
      </c>
      <c r="I13" s="238">
        <v>207.29</v>
      </c>
      <c r="J13" s="46">
        <v>27.7</v>
      </c>
      <c r="K13" s="238">
        <v>24.78</v>
      </c>
      <c r="L13" s="46">
        <v>17.89</v>
      </c>
      <c r="M13" s="44">
        <v>8.6300000000000008</v>
      </c>
      <c r="N13" s="41">
        <v>28.04</v>
      </c>
      <c r="O13" s="238">
        <v>29.71</v>
      </c>
      <c r="P13" s="736">
        <v>24.37</v>
      </c>
      <c r="Q13" s="33">
        <v>23.02</v>
      </c>
      <c r="R13" s="13"/>
      <c r="S13" s="33">
        <v>36.520000000000003</v>
      </c>
      <c r="T13" s="13">
        <v>65.73</v>
      </c>
      <c r="U13" s="33">
        <v>70.510000000000005</v>
      </c>
      <c r="V13" s="13">
        <v>1313.99</v>
      </c>
      <c r="W13" s="33">
        <v>1239.93</v>
      </c>
      <c r="X13" s="2">
        <v>623.57000000000005</v>
      </c>
      <c r="Y13" s="411">
        <v>659.04</v>
      </c>
      <c r="Z13" s="1">
        <v>17.920000000000002</v>
      </c>
      <c r="AA13" s="741">
        <v>12.84</v>
      </c>
      <c r="AB13" s="41"/>
      <c r="AC13" s="237"/>
      <c r="AD13" s="41">
        <v>278.62</v>
      </c>
      <c r="AE13" s="238">
        <v>252.84</v>
      </c>
      <c r="AF13" s="41">
        <v>275.95999999999998</v>
      </c>
      <c r="AG13" s="238">
        <v>149.81</v>
      </c>
      <c r="AH13" s="41">
        <v>173.94</v>
      </c>
      <c r="AI13" s="238">
        <v>147.93</v>
      </c>
      <c r="AJ13" s="42">
        <v>221.88</v>
      </c>
      <c r="AK13" s="237">
        <v>198.11</v>
      </c>
      <c r="AL13" s="41"/>
      <c r="AM13" s="237"/>
      <c r="AN13" s="537">
        <v>516.32000000000005</v>
      </c>
      <c r="AO13" s="749">
        <v>336.64</v>
      </c>
      <c r="AP13" s="41">
        <v>102.28</v>
      </c>
      <c r="AQ13" s="237">
        <v>75.150000000000006</v>
      </c>
      <c r="AR13" s="48">
        <v>11.5</v>
      </c>
      <c r="AS13" s="742">
        <v>1.24</v>
      </c>
      <c r="AT13" s="41">
        <v>119.7</v>
      </c>
      <c r="AU13" s="237">
        <v>64.81</v>
      </c>
      <c r="AV13" s="241"/>
      <c r="AW13" s="745"/>
      <c r="AX13" s="48"/>
      <c r="AY13" s="48">
        <v>56.34</v>
      </c>
      <c r="AZ13" s="49"/>
      <c r="BA13" s="172"/>
    </row>
    <row r="14" spans="1:57" ht="17.25" x14ac:dyDescent="0.35">
      <c r="A14" s="62" t="s">
        <v>16</v>
      </c>
      <c r="B14" s="217">
        <v>3.95</v>
      </c>
      <c r="C14" s="730">
        <v>0.49</v>
      </c>
      <c r="D14" s="46"/>
      <c r="E14" s="238"/>
      <c r="F14" s="46"/>
      <c r="G14" s="44"/>
      <c r="H14" s="46">
        <v>0.87</v>
      </c>
      <c r="I14" s="238">
        <v>3.98</v>
      </c>
      <c r="J14" s="46">
        <v>0.2</v>
      </c>
      <c r="K14" s="44">
        <v>0.04</v>
      </c>
      <c r="L14" s="46">
        <v>2.75</v>
      </c>
      <c r="M14" s="44">
        <v>5.51</v>
      </c>
      <c r="N14" s="41"/>
      <c r="O14" s="44"/>
      <c r="P14" s="736">
        <v>0.59</v>
      </c>
      <c r="Q14" s="45"/>
      <c r="R14" s="13"/>
      <c r="S14" s="33">
        <v>3.84</v>
      </c>
      <c r="T14" s="13"/>
      <c r="U14" s="3"/>
      <c r="V14" s="13"/>
      <c r="W14" s="33"/>
      <c r="X14" s="2">
        <v>0.38</v>
      </c>
      <c r="Y14" s="411"/>
      <c r="Z14" s="1">
        <v>0.13</v>
      </c>
      <c r="AA14" s="159">
        <v>0.16</v>
      </c>
      <c r="AB14" s="41"/>
      <c r="AC14" s="43"/>
      <c r="AD14" s="41">
        <v>0.56999999999999995</v>
      </c>
      <c r="AE14" s="238">
        <v>1.57</v>
      </c>
      <c r="AF14" s="41"/>
      <c r="AG14" s="238"/>
      <c r="AH14" s="41">
        <v>0.22</v>
      </c>
      <c r="AI14" s="238"/>
      <c r="AJ14" s="42"/>
      <c r="AK14" s="237"/>
      <c r="AL14" s="41"/>
      <c r="AM14" s="237"/>
      <c r="AN14" s="537">
        <v>1.51</v>
      </c>
      <c r="AO14" s="416"/>
      <c r="AP14" s="41"/>
      <c r="AQ14" s="43"/>
      <c r="AR14" s="48"/>
      <c r="AS14" s="419"/>
      <c r="AT14" s="41"/>
      <c r="AU14" s="43"/>
      <c r="AV14" s="241">
        <f t="shared" si="0"/>
        <v>11.170000000000003</v>
      </c>
      <c r="AW14" s="745">
        <f t="shared" si="1"/>
        <v>15.59</v>
      </c>
      <c r="AX14" s="48">
        <v>0.95</v>
      </c>
      <c r="AY14" s="48">
        <v>5.2</v>
      </c>
      <c r="AZ14" s="49">
        <f t="shared" si="2"/>
        <v>12.120000000000003</v>
      </c>
      <c r="BA14" s="172">
        <f t="shared" si="3"/>
        <v>20.79</v>
      </c>
    </row>
    <row r="15" spans="1:57" ht="17.25" x14ac:dyDescent="0.35">
      <c r="A15" s="62" t="s">
        <v>17</v>
      </c>
      <c r="B15" s="217"/>
      <c r="C15" s="730"/>
      <c r="D15" s="46">
        <v>0.13</v>
      </c>
      <c r="E15" s="238">
        <v>2.2999999999999998</v>
      </c>
      <c r="F15" s="46">
        <v>3.65</v>
      </c>
      <c r="G15" s="44">
        <v>2.34</v>
      </c>
      <c r="H15" s="46"/>
      <c r="I15" s="238"/>
      <c r="J15" s="46"/>
      <c r="K15" s="44"/>
      <c r="L15" s="46"/>
      <c r="M15" s="44"/>
      <c r="N15" s="41"/>
      <c r="O15" s="44"/>
      <c r="P15" s="736"/>
      <c r="Q15" s="45"/>
      <c r="R15" s="13"/>
      <c r="S15" s="33"/>
      <c r="T15" s="13">
        <v>1.8</v>
      </c>
      <c r="U15" s="3">
        <v>2.5299999999999998</v>
      </c>
      <c r="V15" s="13">
        <v>2.0299999999999998</v>
      </c>
      <c r="W15" s="33">
        <v>1.88</v>
      </c>
      <c r="X15" s="2">
        <v>13.77</v>
      </c>
      <c r="Y15" s="411">
        <v>21.75</v>
      </c>
      <c r="Z15" s="1"/>
      <c r="AA15" s="159"/>
      <c r="AB15" s="41"/>
      <c r="AC15" s="43"/>
      <c r="AD15" s="41"/>
      <c r="AE15" s="44"/>
      <c r="AF15" s="41">
        <v>16.68</v>
      </c>
      <c r="AG15" s="44">
        <v>22.18</v>
      </c>
      <c r="AH15" s="41">
        <v>11.93</v>
      </c>
      <c r="AI15" s="238">
        <v>11.29</v>
      </c>
      <c r="AJ15" s="42"/>
      <c r="AK15" s="237"/>
      <c r="AL15" s="41"/>
      <c r="AM15" s="237"/>
      <c r="AN15" s="537">
        <v>0.01</v>
      </c>
      <c r="AO15" s="416">
        <v>0.06</v>
      </c>
      <c r="AP15" s="41"/>
      <c r="AQ15" s="43"/>
      <c r="AR15" s="48"/>
      <c r="AS15" s="419"/>
      <c r="AT15" s="41"/>
      <c r="AU15" s="43"/>
      <c r="AV15" s="241">
        <f t="shared" si="0"/>
        <v>50</v>
      </c>
      <c r="AW15" s="745">
        <f t="shared" si="1"/>
        <v>64.330000000000013</v>
      </c>
      <c r="AX15" s="48">
        <v>36.08</v>
      </c>
      <c r="AY15" s="48"/>
      <c r="AZ15" s="49">
        <f t="shared" si="2"/>
        <v>86.08</v>
      </c>
      <c r="BA15" s="172">
        <f t="shared" si="3"/>
        <v>64.330000000000013</v>
      </c>
    </row>
    <row r="16" spans="1:57" ht="17.25" x14ac:dyDescent="0.35">
      <c r="A16" s="62" t="s">
        <v>172</v>
      </c>
      <c r="B16" s="217"/>
      <c r="C16" s="730"/>
      <c r="D16" s="46"/>
      <c r="E16" s="238"/>
      <c r="F16" s="46"/>
      <c r="G16" s="44"/>
      <c r="H16" s="46"/>
      <c r="I16" s="238"/>
      <c r="J16" s="46"/>
      <c r="K16" s="44"/>
      <c r="L16" s="46"/>
      <c r="M16" s="44"/>
      <c r="N16" s="41"/>
      <c r="O16" s="44"/>
      <c r="P16" s="736"/>
      <c r="Q16" s="45"/>
      <c r="R16" s="13"/>
      <c r="S16" s="3"/>
      <c r="T16" s="13"/>
      <c r="U16" s="3"/>
      <c r="V16" s="13"/>
      <c r="W16" s="33"/>
      <c r="X16" s="2"/>
      <c r="Y16" s="411"/>
      <c r="Z16" s="1"/>
      <c r="AA16" s="159"/>
      <c r="AB16" s="41"/>
      <c r="AC16" s="43"/>
      <c r="AD16" s="41"/>
      <c r="AE16" s="44"/>
      <c r="AF16" s="41"/>
      <c r="AG16" s="44"/>
      <c r="AH16" s="41"/>
      <c r="AI16" s="238"/>
      <c r="AJ16" s="42"/>
      <c r="AK16" s="237"/>
      <c r="AL16" s="41"/>
      <c r="AM16" s="237"/>
      <c r="AN16" s="537"/>
      <c r="AO16" s="416"/>
      <c r="AP16" s="41"/>
      <c r="AQ16" s="43"/>
      <c r="AR16" s="48"/>
      <c r="AS16" s="419"/>
      <c r="AT16" s="41"/>
      <c r="AU16" s="43"/>
      <c r="AV16" s="241">
        <f t="shared" si="0"/>
        <v>0</v>
      </c>
      <c r="AW16" s="745">
        <f t="shared" si="1"/>
        <v>0</v>
      </c>
      <c r="AX16" s="48"/>
      <c r="AY16" s="48"/>
      <c r="AZ16" s="49">
        <f t="shared" si="2"/>
        <v>0</v>
      </c>
      <c r="BA16" s="172">
        <f t="shared" si="3"/>
        <v>0</v>
      </c>
    </row>
    <row r="17" spans="1:53" ht="18" thickBot="1" x14ac:dyDescent="0.4">
      <c r="A17" s="173" t="s">
        <v>19</v>
      </c>
      <c r="B17" s="731">
        <v>0.37</v>
      </c>
      <c r="C17" s="730">
        <v>1.76</v>
      </c>
      <c r="D17" s="178"/>
      <c r="E17" s="238"/>
      <c r="F17" s="178"/>
      <c r="G17" s="177"/>
      <c r="H17" s="178">
        <v>2.15</v>
      </c>
      <c r="I17" s="238">
        <v>53.62</v>
      </c>
      <c r="J17" s="178">
        <v>0.01</v>
      </c>
      <c r="K17" s="177">
        <v>0.11</v>
      </c>
      <c r="L17" s="178">
        <v>0.11</v>
      </c>
      <c r="M17" s="177">
        <v>2.86</v>
      </c>
      <c r="N17" s="174"/>
      <c r="O17" s="177"/>
      <c r="P17" s="737">
        <v>0.01</v>
      </c>
      <c r="Q17" s="191">
        <v>0.6</v>
      </c>
      <c r="R17" s="192"/>
      <c r="S17" s="194"/>
      <c r="T17" s="192"/>
      <c r="U17" s="194"/>
      <c r="V17" s="192">
        <v>2.14</v>
      </c>
      <c r="W17" s="33">
        <v>13.96</v>
      </c>
      <c r="X17" s="193">
        <v>1.59</v>
      </c>
      <c r="Y17" s="411">
        <v>18.39</v>
      </c>
      <c r="Z17" s="190"/>
      <c r="AA17" s="412"/>
      <c r="AB17" s="174">
        <v>2.9999999999999997E-4</v>
      </c>
      <c r="AC17" s="176"/>
      <c r="AD17" s="174">
        <v>0.19</v>
      </c>
      <c r="AE17" s="177">
        <v>1.0900000000000001</v>
      </c>
      <c r="AF17" s="174">
        <v>2.89</v>
      </c>
      <c r="AG17" s="177">
        <v>34.31</v>
      </c>
      <c r="AH17" s="174">
        <v>0.88</v>
      </c>
      <c r="AI17" s="238">
        <v>11.8</v>
      </c>
      <c r="AJ17" s="175"/>
      <c r="AK17" s="237">
        <v>0.05</v>
      </c>
      <c r="AL17" s="174"/>
      <c r="AM17" s="237"/>
      <c r="AN17" s="553">
        <v>0.23</v>
      </c>
      <c r="AO17" s="417">
        <v>1.54</v>
      </c>
      <c r="AP17" s="174">
        <v>-2.8999999999999998E-3</v>
      </c>
      <c r="AQ17" s="176"/>
      <c r="AR17" s="179"/>
      <c r="AS17" s="420"/>
      <c r="AT17" s="174">
        <v>4.0599999999999996</v>
      </c>
      <c r="AU17" s="176">
        <v>53.49</v>
      </c>
      <c r="AV17" s="241">
        <f t="shared" si="0"/>
        <v>14.627400000000002</v>
      </c>
      <c r="AW17" s="745">
        <f t="shared" si="1"/>
        <v>193.58</v>
      </c>
      <c r="AX17" s="179"/>
      <c r="AY17" s="179">
        <v>0.3</v>
      </c>
      <c r="AZ17" s="180">
        <f t="shared" si="2"/>
        <v>14.627400000000002</v>
      </c>
      <c r="BA17" s="181">
        <f t="shared" si="3"/>
        <v>193.88000000000002</v>
      </c>
    </row>
    <row r="18" spans="1:53" s="276" customFormat="1" ht="18.75" thickBot="1" x14ac:dyDescent="0.4">
      <c r="A18" s="268" t="s">
        <v>20</v>
      </c>
      <c r="B18" s="271">
        <f t="shared" ref="B18:AG18" si="4">SUM(B5:B17)</f>
        <v>1254.6799999999998</v>
      </c>
      <c r="C18" s="272">
        <f t="shared" si="4"/>
        <v>980.32999999999993</v>
      </c>
      <c r="D18" s="269">
        <f t="shared" si="4"/>
        <v>0.56999999999999995</v>
      </c>
      <c r="E18" s="272">
        <f t="shared" si="4"/>
        <v>7.3589999999999991</v>
      </c>
      <c r="F18" s="269">
        <f t="shared" si="4"/>
        <v>77.180000000000007</v>
      </c>
      <c r="G18" s="272">
        <f t="shared" si="4"/>
        <v>71.460000000000008</v>
      </c>
      <c r="H18" s="269">
        <f t="shared" si="4"/>
        <v>2203.15</v>
      </c>
      <c r="I18" s="272">
        <f t="shared" si="4"/>
        <v>1416.09</v>
      </c>
      <c r="J18" s="269">
        <f t="shared" si="4"/>
        <v>326.59999999999997</v>
      </c>
      <c r="K18" s="272">
        <f t="shared" si="4"/>
        <v>304.72999999999996</v>
      </c>
      <c r="L18" s="269">
        <f t="shared" si="4"/>
        <v>724.59000000000015</v>
      </c>
      <c r="M18" s="272">
        <f t="shared" si="4"/>
        <v>638.21999999999991</v>
      </c>
      <c r="N18" s="271">
        <f t="shared" si="4"/>
        <v>72.08</v>
      </c>
      <c r="O18" s="272">
        <f t="shared" si="4"/>
        <v>59.43</v>
      </c>
      <c r="P18" s="269">
        <f t="shared" si="4"/>
        <v>178.23</v>
      </c>
      <c r="Q18" s="272">
        <f t="shared" si="4"/>
        <v>165.81</v>
      </c>
      <c r="R18" s="269">
        <f t="shared" si="4"/>
        <v>0</v>
      </c>
      <c r="S18" s="272">
        <f t="shared" si="4"/>
        <v>348.79999999999995</v>
      </c>
      <c r="T18" s="269">
        <f t="shared" si="4"/>
        <v>123.36</v>
      </c>
      <c r="U18" s="272">
        <f t="shared" si="4"/>
        <v>102.96000000000001</v>
      </c>
      <c r="V18" s="269">
        <f t="shared" si="4"/>
        <v>5412.71</v>
      </c>
      <c r="W18" s="272">
        <f t="shared" si="4"/>
        <v>5003.4000000000005</v>
      </c>
      <c r="X18" s="269">
        <f t="shared" si="4"/>
        <v>3797.7700000000009</v>
      </c>
      <c r="Y18" s="270">
        <f t="shared" si="4"/>
        <v>3956.47</v>
      </c>
      <c r="Z18" s="271">
        <f t="shared" si="4"/>
        <v>254.76</v>
      </c>
      <c r="AA18" s="270">
        <f t="shared" si="4"/>
        <v>250.16899999999998</v>
      </c>
      <c r="AB18" s="271">
        <f t="shared" si="4"/>
        <v>739.7903</v>
      </c>
      <c r="AC18" s="270">
        <f t="shared" si="4"/>
        <v>523.29</v>
      </c>
      <c r="AD18" s="271">
        <f t="shared" si="4"/>
        <v>1330.8500000000001</v>
      </c>
      <c r="AE18" s="272">
        <f t="shared" si="4"/>
        <v>1069.2149999999999</v>
      </c>
      <c r="AF18" s="271">
        <f t="shared" si="4"/>
        <v>2998.2799999999993</v>
      </c>
      <c r="AG18" s="272">
        <f t="shared" si="4"/>
        <v>2337.1699999999996</v>
      </c>
      <c r="AH18" s="271">
        <f t="shared" ref="AH18:AU18" si="5">SUM(AH5:AH17)</f>
        <v>877.53</v>
      </c>
      <c r="AI18" s="272">
        <f t="shared" si="5"/>
        <v>633.4799999999999</v>
      </c>
      <c r="AJ18" s="269">
        <f t="shared" si="5"/>
        <v>438.65999999999997</v>
      </c>
      <c r="AK18" s="270">
        <f t="shared" si="5"/>
        <v>388.66</v>
      </c>
      <c r="AL18" s="271">
        <f t="shared" si="5"/>
        <v>0</v>
      </c>
      <c r="AM18" s="270">
        <f t="shared" si="5"/>
        <v>0</v>
      </c>
      <c r="AN18" s="271">
        <f t="shared" si="5"/>
        <v>8461.1</v>
      </c>
      <c r="AO18" s="270">
        <f t="shared" si="5"/>
        <v>6475.0300000000007</v>
      </c>
      <c r="AP18" s="271">
        <f t="shared" si="5"/>
        <v>264.31710000000004</v>
      </c>
      <c r="AQ18" s="270">
        <f t="shared" si="5"/>
        <v>234.06000000000003</v>
      </c>
      <c r="AR18" s="271">
        <f t="shared" si="5"/>
        <v>619.00999999999988</v>
      </c>
      <c r="AS18" s="270">
        <f t="shared" si="5"/>
        <v>454.471</v>
      </c>
      <c r="AT18" s="271">
        <f t="shared" si="5"/>
        <v>2791.96</v>
      </c>
      <c r="AU18" s="270">
        <f t="shared" si="5"/>
        <v>1791.4699999999998</v>
      </c>
      <c r="AV18" s="274">
        <f t="shared" si="0"/>
        <v>32947.1774</v>
      </c>
      <c r="AW18" s="746">
        <f t="shared" si="1"/>
        <v>27212.074000000001</v>
      </c>
      <c r="AX18" s="273">
        <f>SUM(AX5:AX17)</f>
        <v>24483.67</v>
      </c>
      <c r="AY18" s="743">
        <f>SUM(AY5:AY17)</f>
        <v>21905.820000000003</v>
      </c>
      <c r="AZ18" s="274">
        <f t="shared" si="2"/>
        <v>57430.847399999999</v>
      </c>
      <c r="BA18" s="275">
        <f t="shared" si="3"/>
        <v>49117.894</v>
      </c>
    </row>
    <row r="19" spans="1:53" ht="18" thickBot="1" x14ac:dyDescent="0.4">
      <c r="A19" s="195" t="s">
        <v>11</v>
      </c>
      <c r="B19" s="732"/>
      <c r="C19" s="733"/>
      <c r="D19" s="186"/>
      <c r="E19" s="185"/>
      <c r="F19" s="186">
        <v>0.02</v>
      </c>
      <c r="G19" s="734">
        <v>0.04</v>
      </c>
      <c r="H19" s="186"/>
      <c r="I19" s="185"/>
      <c r="J19" s="186"/>
      <c r="K19" s="185"/>
      <c r="L19" s="186"/>
      <c r="M19" s="185"/>
      <c r="N19" s="182"/>
      <c r="O19" s="734"/>
      <c r="P19" s="738"/>
      <c r="Q19" s="197"/>
      <c r="R19" s="739">
        <v>3.95</v>
      </c>
      <c r="S19" s="740">
        <v>3.73</v>
      </c>
      <c r="T19" s="739"/>
      <c r="U19" s="199"/>
      <c r="V19" s="739"/>
      <c r="W19" s="199"/>
      <c r="X19" s="198"/>
      <c r="Y19" s="413"/>
      <c r="Z19" s="196"/>
      <c r="AA19" s="413"/>
      <c r="AB19" s="182"/>
      <c r="AC19" s="184"/>
      <c r="AD19" s="182">
        <v>0.81</v>
      </c>
      <c r="AE19" s="734">
        <v>0.09</v>
      </c>
      <c r="AF19" s="182"/>
      <c r="AG19" s="185"/>
      <c r="AH19" s="182"/>
      <c r="AI19" s="734"/>
      <c r="AJ19" s="183"/>
      <c r="AK19" s="184"/>
      <c r="AL19" s="182"/>
      <c r="AM19" s="184"/>
      <c r="AN19" s="243"/>
      <c r="AO19" s="418"/>
      <c r="AP19" s="182"/>
      <c r="AQ19" s="184"/>
      <c r="AR19" s="187"/>
      <c r="AS19" s="421"/>
      <c r="AT19" s="182"/>
      <c r="AU19" s="184"/>
      <c r="AV19" s="188">
        <f t="shared" si="0"/>
        <v>4.78</v>
      </c>
      <c r="AW19" s="747">
        <f t="shared" si="1"/>
        <v>3.86</v>
      </c>
      <c r="AX19" s="187"/>
      <c r="AY19" s="421"/>
      <c r="AZ19" s="188">
        <f t="shared" si="2"/>
        <v>4.78</v>
      </c>
      <c r="BA19" s="189">
        <f t="shared" si="3"/>
        <v>3.86</v>
      </c>
    </row>
    <row r="20" spans="1:53" s="276" customFormat="1" ht="18.75" thickBot="1" x14ac:dyDescent="0.4">
      <c r="A20" s="277" t="s">
        <v>12</v>
      </c>
      <c r="B20" s="280">
        <f t="shared" ref="B20:AG20" si="6">B18+B19</f>
        <v>1254.6799999999998</v>
      </c>
      <c r="C20" s="281">
        <f t="shared" si="6"/>
        <v>980.32999999999993</v>
      </c>
      <c r="D20" s="278">
        <f t="shared" si="6"/>
        <v>0.56999999999999995</v>
      </c>
      <c r="E20" s="281">
        <f t="shared" si="6"/>
        <v>7.3589999999999991</v>
      </c>
      <c r="F20" s="278">
        <f t="shared" si="6"/>
        <v>77.2</v>
      </c>
      <c r="G20" s="281">
        <f t="shared" si="6"/>
        <v>71.500000000000014</v>
      </c>
      <c r="H20" s="278">
        <f t="shared" si="6"/>
        <v>2203.15</v>
      </c>
      <c r="I20" s="281">
        <f t="shared" si="6"/>
        <v>1416.09</v>
      </c>
      <c r="J20" s="278">
        <f t="shared" si="6"/>
        <v>326.59999999999997</v>
      </c>
      <c r="K20" s="281">
        <f t="shared" si="6"/>
        <v>304.72999999999996</v>
      </c>
      <c r="L20" s="278">
        <f t="shared" si="6"/>
        <v>724.59000000000015</v>
      </c>
      <c r="M20" s="281">
        <f t="shared" si="6"/>
        <v>638.21999999999991</v>
      </c>
      <c r="N20" s="280">
        <f t="shared" si="6"/>
        <v>72.08</v>
      </c>
      <c r="O20" s="281">
        <f t="shared" si="6"/>
        <v>59.43</v>
      </c>
      <c r="P20" s="278">
        <f t="shared" si="6"/>
        <v>178.23</v>
      </c>
      <c r="Q20" s="281">
        <f t="shared" si="6"/>
        <v>165.81</v>
      </c>
      <c r="R20" s="278">
        <f t="shared" si="6"/>
        <v>3.95</v>
      </c>
      <c r="S20" s="281">
        <f t="shared" si="6"/>
        <v>352.53</v>
      </c>
      <c r="T20" s="278">
        <f t="shared" si="6"/>
        <v>123.36</v>
      </c>
      <c r="U20" s="281">
        <f t="shared" si="6"/>
        <v>102.96000000000001</v>
      </c>
      <c r="V20" s="278">
        <f t="shared" si="6"/>
        <v>5412.71</v>
      </c>
      <c r="W20" s="281">
        <f t="shared" si="6"/>
        <v>5003.4000000000005</v>
      </c>
      <c r="X20" s="278">
        <f t="shared" si="6"/>
        <v>3797.7700000000009</v>
      </c>
      <c r="Y20" s="279">
        <f t="shared" si="6"/>
        <v>3956.47</v>
      </c>
      <c r="Z20" s="280">
        <f t="shared" si="6"/>
        <v>254.76</v>
      </c>
      <c r="AA20" s="279">
        <f t="shared" si="6"/>
        <v>250.16899999999998</v>
      </c>
      <c r="AB20" s="280">
        <f t="shared" si="6"/>
        <v>739.7903</v>
      </c>
      <c r="AC20" s="279">
        <f t="shared" si="6"/>
        <v>523.29</v>
      </c>
      <c r="AD20" s="280">
        <f t="shared" si="6"/>
        <v>1331.66</v>
      </c>
      <c r="AE20" s="281">
        <f t="shared" si="6"/>
        <v>1069.3049999999998</v>
      </c>
      <c r="AF20" s="280">
        <f t="shared" si="6"/>
        <v>2998.2799999999993</v>
      </c>
      <c r="AG20" s="281">
        <f t="shared" si="6"/>
        <v>2337.1699999999996</v>
      </c>
      <c r="AH20" s="280">
        <f t="shared" ref="AH20:AU20" si="7">AH18+AH19</f>
        <v>877.53</v>
      </c>
      <c r="AI20" s="281">
        <f t="shared" si="7"/>
        <v>633.4799999999999</v>
      </c>
      <c r="AJ20" s="278">
        <f t="shared" si="7"/>
        <v>438.65999999999997</v>
      </c>
      <c r="AK20" s="279">
        <f t="shared" si="7"/>
        <v>388.66</v>
      </c>
      <c r="AL20" s="280">
        <f t="shared" si="7"/>
        <v>0</v>
      </c>
      <c r="AM20" s="279">
        <f t="shared" si="7"/>
        <v>0</v>
      </c>
      <c r="AN20" s="280">
        <f t="shared" si="7"/>
        <v>8461.1</v>
      </c>
      <c r="AO20" s="279">
        <f t="shared" si="7"/>
        <v>6475.0300000000007</v>
      </c>
      <c r="AP20" s="280">
        <f t="shared" si="7"/>
        <v>264.31710000000004</v>
      </c>
      <c r="AQ20" s="279">
        <f t="shared" si="7"/>
        <v>234.06000000000003</v>
      </c>
      <c r="AR20" s="280">
        <f t="shared" si="7"/>
        <v>619.00999999999988</v>
      </c>
      <c r="AS20" s="279">
        <f t="shared" si="7"/>
        <v>454.471</v>
      </c>
      <c r="AT20" s="280">
        <f t="shared" si="7"/>
        <v>2791.96</v>
      </c>
      <c r="AU20" s="279">
        <f t="shared" si="7"/>
        <v>1791.4699999999998</v>
      </c>
      <c r="AV20" s="282">
        <f t="shared" si="0"/>
        <v>32951.957399999999</v>
      </c>
      <c r="AW20" s="748">
        <f t="shared" si="1"/>
        <v>27215.934000000001</v>
      </c>
      <c r="AX20" s="282">
        <f>AX18+AX19</f>
        <v>24483.67</v>
      </c>
      <c r="AY20" s="744">
        <f>AY18+AY19</f>
        <v>21905.820000000003</v>
      </c>
      <c r="AZ20" s="282">
        <f t="shared" si="2"/>
        <v>57435.627399999998</v>
      </c>
      <c r="BA20" s="283">
        <f t="shared" si="3"/>
        <v>49121.754000000001</v>
      </c>
    </row>
    <row r="21" spans="1:53" x14ac:dyDescent="0.3">
      <c r="AT21" s="52"/>
      <c r="AU21" s="52"/>
    </row>
  </sheetData>
  <mergeCells count="29">
    <mergeCell ref="AJ3:AK3"/>
    <mergeCell ref="AZ3:BA3"/>
    <mergeCell ref="AN3:AO3"/>
    <mergeCell ref="AP3:AQ3"/>
    <mergeCell ref="AT3:AU3"/>
    <mergeCell ref="AR3:AS3"/>
    <mergeCell ref="AV3:AW3"/>
    <mergeCell ref="AX3:AY3"/>
    <mergeCell ref="Z3:AA3"/>
    <mergeCell ref="AB3:AC3"/>
    <mergeCell ref="AD3:AE3"/>
    <mergeCell ref="AF3:AG3"/>
    <mergeCell ref="AH3:AI3"/>
    <mergeCell ref="A1:AZ1"/>
    <mergeCell ref="A2:AZ2"/>
    <mergeCell ref="A3:A4"/>
    <mergeCell ref="N3:O3"/>
    <mergeCell ref="B3:C3"/>
    <mergeCell ref="D3:E3"/>
    <mergeCell ref="F3:G3"/>
    <mergeCell ref="H3:I3"/>
    <mergeCell ref="J3:K3"/>
    <mergeCell ref="L3:M3"/>
    <mergeCell ref="AL3:AM3"/>
    <mergeCell ref="P3:Q3"/>
    <mergeCell ref="R3:S3"/>
    <mergeCell ref="T3:U3"/>
    <mergeCell ref="V3:W3"/>
    <mergeCell ref="X3:Y3"/>
  </mergeCells>
  <pageMargins left="0.7" right="0.7" top="0.75" bottom="0.75" header="0.3" footer="0.3"/>
  <pageSetup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BB23"/>
  <sheetViews>
    <sheetView workbookViewId="0">
      <pane xSplit="1" topLeftCell="B1" activePane="topRight" state="frozen"/>
      <selection pane="topRight" sqref="A1:XFD1048576"/>
    </sheetView>
  </sheetViews>
  <sheetFormatPr defaultRowHeight="14.25" x14ac:dyDescent="0.3"/>
  <cols>
    <col min="1" max="1" width="27.28515625" style="7" bestFit="1" customWidth="1"/>
    <col min="2" max="25" width="12.85546875" style="7" bestFit="1" customWidth="1"/>
    <col min="26" max="27" width="12.85546875" style="23" bestFit="1" customWidth="1"/>
    <col min="28" max="53" width="12.85546875" style="7" bestFit="1" customWidth="1"/>
    <col min="54" max="54" width="9.5703125" style="7" bestFit="1" customWidth="1"/>
    <col min="55" max="16384" width="9.140625" style="7"/>
  </cols>
  <sheetData>
    <row r="1" spans="1:54" ht="28.5" customHeight="1" x14ac:dyDescent="0.3">
      <c r="A1" s="1116" t="s">
        <v>148</v>
      </c>
      <c r="B1" s="1116"/>
      <c r="C1" s="1116"/>
      <c r="D1" s="1116"/>
      <c r="E1" s="1116"/>
      <c r="F1" s="1116"/>
      <c r="G1" s="1116"/>
      <c r="H1" s="1116"/>
      <c r="I1" s="1116"/>
      <c r="J1" s="1116"/>
      <c r="K1" s="1116"/>
      <c r="L1" s="1116"/>
      <c r="M1" s="1116"/>
      <c r="N1" s="1116"/>
      <c r="O1" s="1116"/>
      <c r="P1" s="1116"/>
      <c r="Q1" s="1116"/>
      <c r="R1" s="1116"/>
      <c r="S1" s="1116"/>
      <c r="T1" s="1116"/>
      <c r="U1" s="1116"/>
      <c r="V1" s="1116"/>
      <c r="W1" s="1116"/>
      <c r="X1" s="1116"/>
      <c r="Y1" s="1116"/>
      <c r="Z1" s="1116"/>
      <c r="AA1" s="1116"/>
      <c r="AB1" s="1116"/>
      <c r="AC1" s="1116"/>
      <c r="AD1" s="1116"/>
      <c r="AE1" s="1116"/>
      <c r="AF1" s="1116"/>
      <c r="AG1" s="1116"/>
      <c r="AH1" s="1116"/>
      <c r="AI1" s="1116"/>
      <c r="AJ1" s="1116"/>
      <c r="AK1" s="1116"/>
      <c r="AL1" s="1116"/>
      <c r="AM1" s="1116"/>
      <c r="AN1" s="1116"/>
      <c r="AO1" s="1116"/>
      <c r="AP1" s="1116"/>
      <c r="AQ1" s="1116"/>
      <c r="AR1" s="1116"/>
      <c r="AS1" s="1116"/>
      <c r="AT1" s="1116"/>
      <c r="AU1" s="1116"/>
      <c r="AV1" s="1116"/>
      <c r="AW1" s="1116"/>
      <c r="AX1" s="1116"/>
      <c r="AY1" s="1116"/>
      <c r="AZ1" s="1116"/>
      <c r="BA1" s="25"/>
    </row>
    <row r="2" spans="1:54" ht="15" thickBot="1" x14ac:dyDescent="0.35">
      <c r="A2" s="1076"/>
      <c r="B2" s="1076"/>
      <c r="C2" s="1076"/>
      <c r="D2" s="1076"/>
      <c r="E2" s="1076"/>
      <c r="F2" s="1076"/>
      <c r="G2" s="1076"/>
      <c r="H2" s="1076"/>
      <c r="I2" s="1076"/>
      <c r="J2" s="1076"/>
      <c r="K2" s="1076"/>
      <c r="L2" s="1076"/>
      <c r="M2" s="1076"/>
      <c r="N2" s="1076"/>
      <c r="O2" s="1076"/>
      <c r="P2" s="1076"/>
      <c r="Q2" s="1076"/>
      <c r="R2" s="1076"/>
      <c r="S2" s="1076"/>
      <c r="T2" s="1076"/>
      <c r="U2" s="1076"/>
      <c r="V2" s="1076"/>
      <c r="W2" s="1076"/>
      <c r="X2" s="1076"/>
      <c r="Y2" s="1076"/>
      <c r="Z2" s="1076"/>
      <c r="AA2" s="1076"/>
      <c r="AB2" s="1076"/>
      <c r="AC2" s="1076"/>
      <c r="AD2" s="1076"/>
      <c r="AE2" s="1076"/>
      <c r="AF2" s="1076"/>
      <c r="AG2" s="1076"/>
      <c r="AH2" s="1076"/>
      <c r="AI2" s="1076"/>
      <c r="AJ2" s="1076"/>
      <c r="AK2" s="1076"/>
      <c r="AL2" s="1076"/>
      <c r="AM2" s="1076"/>
      <c r="AN2" s="1076"/>
      <c r="AO2" s="1076"/>
      <c r="AP2" s="1076"/>
      <c r="AQ2" s="1076"/>
      <c r="AR2" s="1076"/>
      <c r="AS2" s="1076"/>
      <c r="AT2" s="1076"/>
      <c r="AU2" s="1076"/>
      <c r="AV2" s="1076"/>
      <c r="AW2" s="1076"/>
      <c r="AX2" s="1076"/>
      <c r="AY2" s="1076"/>
      <c r="AZ2" s="1076"/>
      <c r="BA2" s="26"/>
    </row>
    <row r="3" spans="1:54" ht="26.25" customHeight="1" thickBot="1" x14ac:dyDescent="0.35">
      <c r="A3" s="1117" t="s">
        <v>14</v>
      </c>
      <c r="B3" s="1106" t="s">
        <v>149</v>
      </c>
      <c r="C3" s="1107"/>
      <c r="D3" s="1105" t="s">
        <v>150</v>
      </c>
      <c r="E3" s="1105"/>
      <c r="F3" s="1106" t="s">
        <v>151</v>
      </c>
      <c r="G3" s="1107"/>
      <c r="H3" s="1105" t="s">
        <v>152</v>
      </c>
      <c r="I3" s="1105"/>
      <c r="J3" s="1106" t="s">
        <v>153</v>
      </c>
      <c r="K3" s="1107"/>
      <c r="L3" s="1106" t="s">
        <v>154</v>
      </c>
      <c r="M3" s="1107"/>
      <c r="N3" s="1105" t="s">
        <v>253</v>
      </c>
      <c r="O3" s="1105"/>
      <c r="P3" s="1106" t="s">
        <v>155</v>
      </c>
      <c r="Q3" s="1107"/>
      <c r="R3" s="1105" t="s">
        <v>156</v>
      </c>
      <c r="S3" s="1105"/>
      <c r="T3" s="1106" t="s">
        <v>157</v>
      </c>
      <c r="U3" s="1107"/>
      <c r="V3" s="1106" t="s">
        <v>158</v>
      </c>
      <c r="W3" s="1107"/>
      <c r="X3" s="1106" t="s">
        <v>159</v>
      </c>
      <c r="Y3" s="1107"/>
      <c r="Z3" s="1041" t="s">
        <v>359</v>
      </c>
      <c r="AA3" s="1041"/>
      <c r="AB3" s="1106" t="s">
        <v>160</v>
      </c>
      <c r="AC3" s="1107"/>
      <c r="AD3" s="1105" t="s">
        <v>161</v>
      </c>
      <c r="AE3" s="1105"/>
      <c r="AF3" s="1106" t="s">
        <v>162</v>
      </c>
      <c r="AG3" s="1107"/>
      <c r="AH3" s="1105" t="s">
        <v>163</v>
      </c>
      <c r="AI3" s="1107"/>
      <c r="AJ3" s="1105" t="s">
        <v>164</v>
      </c>
      <c r="AK3" s="1105"/>
      <c r="AL3" s="1106" t="s">
        <v>165</v>
      </c>
      <c r="AM3" s="1107"/>
      <c r="AN3" s="1105" t="s">
        <v>166</v>
      </c>
      <c r="AO3" s="1105"/>
      <c r="AP3" s="1106" t="s">
        <v>167</v>
      </c>
      <c r="AQ3" s="1107"/>
      <c r="AR3" s="1105" t="s">
        <v>168</v>
      </c>
      <c r="AS3" s="1105"/>
      <c r="AT3" s="1106" t="s">
        <v>169</v>
      </c>
      <c r="AU3" s="1107"/>
      <c r="AV3" s="1106" t="s">
        <v>1</v>
      </c>
      <c r="AW3" s="1107"/>
      <c r="AX3" s="1106" t="s">
        <v>170</v>
      </c>
      <c r="AY3" s="1107"/>
      <c r="AZ3" s="1106" t="s">
        <v>2</v>
      </c>
      <c r="BA3" s="1107"/>
    </row>
    <row r="4" spans="1:54" ht="15" thickBot="1" x14ac:dyDescent="0.35">
      <c r="A4" s="1118"/>
      <c r="B4" s="331" t="s">
        <v>370</v>
      </c>
      <c r="C4" s="331" t="s">
        <v>353</v>
      </c>
      <c r="D4" s="331" t="s">
        <v>370</v>
      </c>
      <c r="E4" s="331" t="s">
        <v>353</v>
      </c>
      <c r="F4" s="331" t="s">
        <v>370</v>
      </c>
      <c r="G4" s="331" t="s">
        <v>353</v>
      </c>
      <c r="H4" s="331" t="s">
        <v>370</v>
      </c>
      <c r="I4" s="331" t="s">
        <v>353</v>
      </c>
      <c r="J4" s="331" t="s">
        <v>370</v>
      </c>
      <c r="K4" s="331" t="s">
        <v>353</v>
      </c>
      <c r="L4" s="331" t="s">
        <v>370</v>
      </c>
      <c r="M4" s="331" t="s">
        <v>353</v>
      </c>
      <c r="N4" s="331" t="s">
        <v>370</v>
      </c>
      <c r="O4" s="331" t="s">
        <v>353</v>
      </c>
      <c r="P4" s="331" t="s">
        <v>370</v>
      </c>
      <c r="Q4" s="331" t="s">
        <v>353</v>
      </c>
      <c r="R4" s="331" t="s">
        <v>370</v>
      </c>
      <c r="S4" s="331" t="s">
        <v>353</v>
      </c>
      <c r="T4" s="331" t="s">
        <v>370</v>
      </c>
      <c r="U4" s="331" t="s">
        <v>353</v>
      </c>
      <c r="V4" s="331" t="s">
        <v>370</v>
      </c>
      <c r="W4" s="331" t="s">
        <v>353</v>
      </c>
      <c r="X4" s="331" t="s">
        <v>370</v>
      </c>
      <c r="Y4" s="331" t="s">
        <v>353</v>
      </c>
      <c r="Z4" s="331" t="s">
        <v>370</v>
      </c>
      <c r="AA4" s="331" t="s">
        <v>353</v>
      </c>
      <c r="AB4" s="331" t="s">
        <v>370</v>
      </c>
      <c r="AC4" s="331" t="s">
        <v>353</v>
      </c>
      <c r="AD4" s="331" t="s">
        <v>370</v>
      </c>
      <c r="AE4" s="331" t="s">
        <v>353</v>
      </c>
      <c r="AF4" s="331" t="s">
        <v>370</v>
      </c>
      <c r="AG4" s="331" t="s">
        <v>353</v>
      </c>
      <c r="AH4" s="331" t="s">
        <v>370</v>
      </c>
      <c r="AI4" s="331" t="s">
        <v>353</v>
      </c>
      <c r="AJ4" s="331" t="s">
        <v>370</v>
      </c>
      <c r="AK4" s="331" t="s">
        <v>353</v>
      </c>
      <c r="AL4" s="331" t="s">
        <v>370</v>
      </c>
      <c r="AM4" s="331" t="s">
        <v>353</v>
      </c>
      <c r="AN4" s="331" t="s">
        <v>370</v>
      </c>
      <c r="AO4" s="331" t="s">
        <v>353</v>
      </c>
      <c r="AP4" s="331" t="s">
        <v>370</v>
      </c>
      <c r="AQ4" s="331" t="s">
        <v>353</v>
      </c>
      <c r="AR4" s="331" t="s">
        <v>370</v>
      </c>
      <c r="AS4" s="331" t="s">
        <v>353</v>
      </c>
      <c r="AT4" s="331" t="s">
        <v>370</v>
      </c>
      <c r="AU4" s="331" t="s">
        <v>353</v>
      </c>
      <c r="AV4" s="331" t="s">
        <v>252</v>
      </c>
      <c r="AW4" s="331" t="s">
        <v>353</v>
      </c>
      <c r="AX4" s="331" t="s">
        <v>370</v>
      </c>
      <c r="AY4" s="331" t="s">
        <v>353</v>
      </c>
      <c r="AZ4" s="331" t="s">
        <v>252</v>
      </c>
      <c r="BA4" s="331" t="s">
        <v>353</v>
      </c>
    </row>
    <row r="5" spans="1:54" ht="15" x14ac:dyDescent="0.3">
      <c r="A5" s="27" t="s">
        <v>3</v>
      </c>
      <c r="B5" s="28">
        <v>33864</v>
      </c>
      <c r="C5" s="756">
        <v>39829</v>
      </c>
      <c r="D5" s="29"/>
      <c r="E5" s="750">
        <v>-3</v>
      </c>
      <c r="F5" s="31">
        <v>1113</v>
      </c>
      <c r="G5" s="30">
        <v>1578</v>
      </c>
      <c r="H5" s="29">
        <v>84178</v>
      </c>
      <c r="I5" s="750">
        <v>58759</v>
      </c>
      <c r="J5" s="31">
        <v>20898</v>
      </c>
      <c r="K5" s="30">
        <v>23823</v>
      </c>
      <c r="L5" s="31">
        <v>218</v>
      </c>
      <c r="M5" s="30">
        <v>338</v>
      </c>
      <c r="N5" s="29">
        <v>5020</v>
      </c>
      <c r="O5" s="750">
        <v>4089</v>
      </c>
      <c r="P5" s="31">
        <v>10320</v>
      </c>
      <c r="Q5" s="30">
        <v>13256</v>
      </c>
      <c r="R5" s="29"/>
      <c r="S5" s="750">
        <v>23727</v>
      </c>
      <c r="T5" s="31">
        <v>3347</v>
      </c>
      <c r="U5" s="30">
        <v>1335</v>
      </c>
      <c r="V5" s="31">
        <v>67144</v>
      </c>
      <c r="W5" s="30">
        <v>64732</v>
      </c>
      <c r="X5" s="31">
        <v>79835</v>
      </c>
      <c r="Y5" s="30">
        <v>74294</v>
      </c>
      <c r="Z5" s="763">
        <v>1426</v>
      </c>
      <c r="AA5" s="761">
        <v>2045</v>
      </c>
      <c r="AB5" s="31">
        <v>4988</v>
      </c>
      <c r="AC5" s="30">
        <v>4048</v>
      </c>
      <c r="AD5" s="29">
        <v>47106</v>
      </c>
      <c r="AE5" s="750">
        <v>29010</v>
      </c>
      <c r="AF5" s="31">
        <v>48639</v>
      </c>
      <c r="AG5" s="30">
        <v>48576</v>
      </c>
      <c r="AH5" s="29">
        <v>7591</v>
      </c>
      <c r="AI5" s="30">
        <v>3020</v>
      </c>
      <c r="AJ5" s="146">
        <v>23309</v>
      </c>
      <c r="AK5" s="766">
        <v>26894</v>
      </c>
      <c r="AL5" s="221"/>
      <c r="AM5" s="207"/>
      <c r="AN5" s="226">
        <v>305535</v>
      </c>
      <c r="AO5" s="771">
        <v>259548</v>
      </c>
      <c r="AP5" s="29">
        <v>1850</v>
      </c>
      <c r="AQ5" s="30">
        <v>2270</v>
      </c>
      <c r="AR5" s="34">
        <v>79</v>
      </c>
      <c r="AS5" s="774"/>
      <c r="AT5" s="31">
        <v>67762</v>
      </c>
      <c r="AU5" s="30">
        <v>48761</v>
      </c>
      <c r="AV5" s="224">
        <f t="shared" ref="AV5:AV21" si="0">SUM(B5+D5+F5+H5+J5+L5+N5+P5+R5+T5+V5+X5+Z5+AB5+AD5+AF5+AH5+AJ5+AL5+AN5+AP5+AR5+AT5)</f>
        <v>814222</v>
      </c>
      <c r="AW5" s="752">
        <f t="shared" ref="AW5:AW21" si="1">SUM(C5+E5+G5+I5+K5+M5+O5+Q5+S5+U5+W5+Y5+AA5+AC5+AE5+AG5+AI5+AK5+AM5+AO5+AQ5+AS5+AU5)</f>
        <v>729929</v>
      </c>
      <c r="AX5" s="225">
        <v>8047177</v>
      </c>
      <c r="AY5" s="678">
        <v>7012193</v>
      </c>
      <c r="AZ5" s="224">
        <f t="shared" ref="AZ5:AZ21" si="2">AV5+AX5</f>
        <v>8861399</v>
      </c>
      <c r="BA5" s="35">
        <f t="shared" ref="BA5:BA21" si="3">AW5+AY5</f>
        <v>7742122</v>
      </c>
      <c r="BB5" s="36"/>
    </row>
    <row r="6" spans="1:54" ht="15" x14ac:dyDescent="0.3">
      <c r="A6" s="27" t="s">
        <v>4</v>
      </c>
      <c r="B6" s="37">
        <v>55502</v>
      </c>
      <c r="C6" s="756">
        <v>51783</v>
      </c>
      <c r="D6" s="14"/>
      <c r="E6" s="750"/>
      <c r="F6" s="12">
        <v>6598</v>
      </c>
      <c r="G6" s="30">
        <v>4337</v>
      </c>
      <c r="H6" s="14">
        <v>92629</v>
      </c>
      <c r="I6" s="750">
        <v>67141</v>
      </c>
      <c r="J6" s="12">
        <v>5445</v>
      </c>
      <c r="K6" s="30">
        <v>4188</v>
      </c>
      <c r="L6" s="12">
        <v>64512</v>
      </c>
      <c r="M6" s="15">
        <v>56921</v>
      </c>
      <c r="N6" s="14"/>
      <c r="O6" s="750">
        <v>16</v>
      </c>
      <c r="P6" s="12">
        <v>5137</v>
      </c>
      <c r="Q6" s="30">
        <v>4120</v>
      </c>
      <c r="R6" s="14"/>
      <c r="S6" s="750">
        <v>4081</v>
      </c>
      <c r="T6" s="12">
        <v>2872</v>
      </c>
      <c r="U6" s="30">
        <v>2536</v>
      </c>
      <c r="V6" s="12">
        <v>180086</v>
      </c>
      <c r="W6" s="30">
        <v>187538</v>
      </c>
      <c r="X6" s="12">
        <v>106804</v>
      </c>
      <c r="Y6" s="30">
        <v>129492</v>
      </c>
      <c r="Z6" s="764">
        <v>15133</v>
      </c>
      <c r="AA6" s="761">
        <v>13367</v>
      </c>
      <c r="AB6" s="12">
        <v>112839</v>
      </c>
      <c r="AC6" s="30">
        <v>76704</v>
      </c>
      <c r="AD6" s="14">
        <v>41387</v>
      </c>
      <c r="AE6" s="750">
        <v>45445</v>
      </c>
      <c r="AF6" s="12">
        <v>116761</v>
      </c>
      <c r="AG6" s="30">
        <v>138497</v>
      </c>
      <c r="AH6" s="14">
        <v>82948</v>
      </c>
      <c r="AI6" s="30">
        <v>65100</v>
      </c>
      <c r="AJ6" s="146">
        <v>2553</v>
      </c>
      <c r="AK6" s="766">
        <v>1814</v>
      </c>
      <c r="AL6" s="1"/>
      <c r="AM6" s="3"/>
      <c r="AN6" s="10">
        <v>561117</v>
      </c>
      <c r="AO6" s="772">
        <v>450595</v>
      </c>
      <c r="AP6" s="14"/>
      <c r="AQ6" s="30">
        <v>564</v>
      </c>
      <c r="AR6" s="16">
        <v>81847</v>
      </c>
      <c r="AS6" s="774">
        <v>51923</v>
      </c>
      <c r="AT6" s="12">
        <v>105330</v>
      </c>
      <c r="AU6" s="30">
        <v>86782</v>
      </c>
      <c r="AV6" s="224">
        <f t="shared" si="0"/>
        <v>1639500</v>
      </c>
      <c r="AW6" s="752">
        <f t="shared" si="1"/>
        <v>1442944</v>
      </c>
      <c r="AX6" s="158">
        <v>108834</v>
      </c>
      <c r="AY6" s="678">
        <v>76594</v>
      </c>
      <c r="AZ6" s="224">
        <f t="shared" si="2"/>
        <v>1748334</v>
      </c>
      <c r="BA6" s="35">
        <f t="shared" si="3"/>
        <v>1519538</v>
      </c>
    </row>
    <row r="7" spans="1:54" ht="15" x14ac:dyDescent="0.3">
      <c r="A7" s="27" t="s">
        <v>5</v>
      </c>
      <c r="B7" s="37">
        <v>239</v>
      </c>
      <c r="C7" s="756">
        <v>86</v>
      </c>
      <c r="D7" s="14">
        <v>-5</v>
      </c>
      <c r="E7" s="750">
        <v>-8</v>
      </c>
      <c r="F7" s="12">
        <v>322</v>
      </c>
      <c r="G7" s="30">
        <v>387</v>
      </c>
      <c r="H7" s="14">
        <v>12381</v>
      </c>
      <c r="I7" s="750">
        <v>15790</v>
      </c>
      <c r="J7" s="12">
        <v>5095</v>
      </c>
      <c r="K7" s="30">
        <v>7664</v>
      </c>
      <c r="L7" s="12">
        <v>2137</v>
      </c>
      <c r="M7" s="15">
        <v>74</v>
      </c>
      <c r="N7" s="14">
        <v>3729</v>
      </c>
      <c r="O7" s="750">
        <v>1714</v>
      </c>
      <c r="P7" s="12">
        <v>2819</v>
      </c>
      <c r="Q7" s="30">
        <v>1947</v>
      </c>
      <c r="R7" s="14"/>
      <c r="S7" s="750">
        <v>1164</v>
      </c>
      <c r="T7" s="12">
        <v>1925</v>
      </c>
      <c r="U7" s="30">
        <v>729</v>
      </c>
      <c r="V7" s="12">
        <v>29733</v>
      </c>
      <c r="W7" s="30">
        <v>22086</v>
      </c>
      <c r="X7" s="12">
        <v>12759</v>
      </c>
      <c r="Y7" s="30">
        <v>12788</v>
      </c>
      <c r="Z7" s="764"/>
      <c r="AA7" s="761"/>
      <c r="AB7" s="12">
        <v>848</v>
      </c>
      <c r="AC7" s="30">
        <v>1935</v>
      </c>
      <c r="AD7" s="14">
        <v>1386</v>
      </c>
      <c r="AE7" s="750">
        <v>483</v>
      </c>
      <c r="AF7" s="12">
        <v>4379</v>
      </c>
      <c r="AG7" s="30">
        <v>2550</v>
      </c>
      <c r="AH7" s="14">
        <v>3690</v>
      </c>
      <c r="AI7" s="30">
        <v>2968</v>
      </c>
      <c r="AJ7" s="146">
        <v>7422</v>
      </c>
      <c r="AK7" s="766">
        <v>5827</v>
      </c>
      <c r="AL7" s="1"/>
      <c r="AM7" s="3"/>
      <c r="AN7" s="10">
        <v>48184</v>
      </c>
      <c r="AO7" s="772">
        <v>31515</v>
      </c>
      <c r="AP7" s="14">
        <v>72345</v>
      </c>
      <c r="AQ7" s="30">
        <v>62369</v>
      </c>
      <c r="AR7" s="16">
        <v>0</v>
      </c>
      <c r="AS7" s="774"/>
      <c r="AT7" s="12">
        <v>3249</v>
      </c>
      <c r="AU7" s="30">
        <v>1994</v>
      </c>
      <c r="AV7" s="224">
        <f t="shared" si="0"/>
        <v>212637</v>
      </c>
      <c r="AW7" s="752">
        <f t="shared" si="1"/>
        <v>174062</v>
      </c>
      <c r="AX7" s="158">
        <v>11957</v>
      </c>
      <c r="AY7" s="678">
        <v>10925</v>
      </c>
      <c r="AZ7" s="224">
        <f t="shared" si="2"/>
        <v>224594</v>
      </c>
      <c r="BA7" s="35">
        <f t="shared" si="3"/>
        <v>184987</v>
      </c>
    </row>
    <row r="8" spans="1:54" ht="15" x14ac:dyDescent="0.3">
      <c r="A8" s="27" t="s">
        <v>6</v>
      </c>
      <c r="B8" s="37">
        <v>1671</v>
      </c>
      <c r="C8" s="756">
        <v>498</v>
      </c>
      <c r="D8" s="14">
        <v>617</v>
      </c>
      <c r="E8" s="750">
        <v>960</v>
      </c>
      <c r="F8" s="12">
        <v>288</v>
      </c>
      <c r="G8" s="30">
        <v>62</v>
      </c>
      <c r="H8" s="14">
        <v>41827</v>
      </c>
      <c r="I8" s="750">
        <v>16404</v>
      </c>
      <c r="J8" s="12">
        <v>7857</v>
      </c>
      <c r="K8" s="30">
        <v>6591</v>
      </c>
      <c r="L8" s="12">
        <v>3151</v>
      </c>
      <c r="M8" s="15">
        <v>797</v>
      </c>
      <c r="N8" s="14"/>
      <c r="O8" s="750">
        <v>-2</v>
      </c>
      <c r="P8" s="12">
        <v>1160</v>
      </c>
      <c r="Q8" s="30">
        <v>1271</v>
      </c>
      <c r="R8" s="14"/>
      <c r="S8" s="750">
        <v>17073</v>
      </c>
      <c r="T8" s="12">
        <v>593</v>
      </c>
      <c r="U8" s="30">
        <v>258</v>
      </c>
      <c r="V8" s="12">
        <v>27189</v>
      </c>
      <c r="W8" s="30">
        <v>19030</v>
      </c>
      <c r="X8" s="12">
        <v>29250</v>
      </c>
      <c r="Y8" s="30">
        <v>17818</v>
      </c>
      <c r="Z8" s="764">
        <v>557</v>
      </c>
      <c r="AA8" s="761">
        <v>583</v>
      </c>
      <c r="AB8" s="12">
        <v>5372</v>
      </c>
      <c r="AC8" s="30">
        <v>2277</v>
      </c>
      <c r="AD8" s="14">
        <v>6264</v>
      </c>
      <c r="AE8" s="750">
        <v>2625</v>
      </c>
      <c r="AF8" s="12">
        <v>32106</v>
      </c>
      <c r="AG8" s="30">
        <v>16739</v>
      </c>
      <c r="AH8" s="14">
        <v>13726</v>
      </c>
      <c r="AI8" s="30">
        <v>2037</v>
      </c>
      <c r="AJ8" s="146">
        <v>3362</v>
      </c>
      <c r="AK8" s="766">
        <v>2329</v>
      </c>
      <c r="AL8" s="1"/>
      <c r="AM8" s="3"/>
      <c r="AN8" s="227">
        <v>415</v>
      </c>
      <c r="AO8" s="772">
        <v>347</v>
      </c>
      <c r="AP8" s="14">
        <v>15527</v>
      </c>
      <c r="AQ8" s="30">
        <v>10384</v>
      </c>
      <c r="AR8" s="16">
        <v>365</v>
      </c>
      <c r="AS8" s="774">
        <v>-2</v>
      </c>
      <c r="AT8" s="12">
        <v>81123</v>
      </c>
      <c r="AU8" s="30">
        <v>31912</v>
      </c>
      <c r="AV8" s="224">
        <f t="shared" si="0"/>
        <v>272420</v>
      </c>
      <c r="AW8" s="752">
        <f t="shared" si="1"/>
        <v>149991</v>
      </c>
      <c r="AX8" s="158">
        <v>1333</v>
      </c>
      <c r="AY8" s="678">
        <v>448</v>
      </c>
      <c r="AZ8" s="224">
        <f t="shared" si="2"/>
        <v>273753</v>
      </c>
      <c r="BA8" s="35">
        <f t="shared" si="3"/>
        <v>150439</v>
      </c>
    </row>
    <row r="9" spans="1:54" ht="15" x14ac:dyDescent="0.3">
      <c r="A9" s="27" t="s">
        <v>7</v>
      </c>
      <c r="B9" s="37"/>
      <c r="C9" s="756"/>
      <c r="D9" s="14"/>
      <c r="E9" s="750"/>
      <c r="F9" s="12"/>
      <c r="G9" s="30"/>
      <c r="H9" s="14"/>
      <c r="I9" s="750"/>
      <c r="J9" s="12"/>
      <c r="K9" s="30"/>
      <c r="L9" s="12"/>
      <c r="M9" s="15"/>
      <c r="N9" s="14"/>
      <c r="O9" s="750"/>
      <c r="P9" s="12"/>
      <c r="Q9" s="30"/>
      <c r="R9" s="14"/>
      <c r="S9" s="750"/>
      <c r="T9" s="12"/>
      <c r="U9" s="30"/>
      <c r="V9" s="12"/>
      <c r="W9" s="30"/>
      <c r="X9" s="12"/>
      <c r="Y9" s="30"/>
      <c r="Z9" s="764"/>
      <c r="AA9" s="761"/>
      <c r="AB9" s="12"/>
      <c r="AC9" s="30"/>
      <c r="AD9" s="469">
        <v>1023</v>
      </c>
      <c r="AE9" s="750">
        <v>1699</v>
      </c>
      <c r="AF9" s="12"/>
      <c r="AG9" s="30"/>
      <c r="AH9" s="14"/>
      <c r="AI9" s="30"/>
      <c r="AJ9" s="146"/>
      <c r="AK9" s="766"/>
      <c r="AL9" s="1"/>
      <c r="AM9" s="3"/>
      <c r="AN9" s="736"/>
      <c r="AO9" s="772"/>
      <c r="AP9" s="14"/>
      <c r="AQ9" s="30"/>
      <c r="AR9" s="16"/>
      <c r="AS9" s="774"/>
      <c r="AT9" s="12">
        <v>4294</v>
      </c>
      <c r="AU9" s="30">
        <v>7588</v>
      </c>
      <c r="AV9" s="224">
        <f t="shared" si="0"/>
        <v>5317</v>
      </c>
      <c r="AW9" s="752">
        <f t="shared" si="1"/>
        <v>9287</v>
      </c>
      <c r="AX9" s="12">
        <v>160621</v>
      </c>
      <c r="AY9" s="678">
        <v>237184</v>
      </c>
      <c r="AZ9" s="31">
        <f t="shared" si="2"/>
        <v>165938</v>
      </c>
      <c r="BA9" s="474">
        <f t="shared" si="3"/>
        <v>246471</v>
      </c>
    </row>
    <row r="10" spans="1:54" ht="15" x14ac:dyDescent="0.3">
      <c r="A10" s="27" t="s">
        <v>15</v>
      </c>
      <c r="B10" s="37"/>
      <c r="C10" s="756"/>
      <c r="D10" s="14"/>
      <c r="E10" s="750"/>
      <c r="F10" s="12"/>
      <c r="G10" s="30"/>
      <c r="H10" s="14"/>
      <c r="I10" s="750"/>
      <c r="J10" s="12"/>
      <c r="K10" s="30"/>
      <c r="L10" s="12"/>
      <c r="M10" s="15"/>
      <c r="N10" s="14"/>
      <c r="O10" s="750"/>
      <c r="P10" s="12"/>
      <c r="Q10" s="30"/>
      <c r="R10" s="14"/>
      <c r="S10" s="750"/>
      <c r="T10" s="12"/>
      <c r="U10" s="30"/>
      <c r="V10" s="12"/>
      <c r="W10" s="30"/>
      <c r="X10" s="12"/>
      <c r="Y10" s="30"/>
      <c r="Z10" s="14"/>
      <c r="AA10" s="761"/>
      <c r="AB10" s="12">
        <v>5080</v>
      </c>
      <c r="AC10" s="30">
        <v>6679</v>
      </c>
      <c r="AD10" s="14">
        <v>3580</v>
      </c>
      <c r="AE10" s="750">
        <v>252</v>
      </c>
      <c r="AF10" s="12"/>
      <c r="AG10" s="30"/>
      <c r="AH10" s="14"/>
      <c r="AI10" s="30"/>
      <c r="AJ10" s="146"/>
      <c r="AK10" s="766"/>
      <c r="AL10" s="1"/>
      <c r="AM10" s="3"/>
      <c r="AN10" s="736"/>
      <c r="AO10" s="772"/>
      <c r="AP10" s="14"/>
      <c r="AQ10" s="30"/>
      <c r="AR10" s="16"/>
      <c r="AS10" s="774"/>
      <c r="AT10" s="12"/>
      <c r="AU10" s="30"/>
      <c r="AV10" s="224">
        <f t="shared" si="0"/>
        <v>8660</v>
      </c>
      <c r="AW10" s="752">
        <f t="shared" si="1"/>
        <v>6931</v>
      </c>
      <c r="AX10" s="158">
        <v>12178</v>
      </c>
      <c r="AY10" s="678"/>
      <c r="AZ10" s="224">
        <f t="shared" si="2"/>
        <v>20838</v>
      </c>
      <c r="BA10" s="35">
        <f t="shared" si="3"/>
        <v>6931</v>
      </c>
    </row>
    <row r="11" spans="1:54" ht="15" x14ac:dyDescent="0.3">
      <c r="A11" s="938" t="s">
        <v>358</v>
      </c>
      <c r="B11" s="37"/>
      <c r="C11" s="756"/>
      <c r="D11" s="14"/>
      <c r="E11" s="750"/>
      <c r="F11" s="12"/>
      <c r="G11" s="30"/>
      <c r="H11" s="14"/>
      <c r="I11" s="750"/>
      <c r="J11" s="12"/>
      <c r="K11" s="30"/>
      <c r="L11" s="12"/>
      <c r="M11" s="15"/>
      <c r="N11" s="14"/>
      <c r="O11" s="750"/>
      <c r="P11" s="12"/>
      <c r="Q11" s="30"/>
      <c r="R11" s="14"/>
      <c r="S11" s="750"/>
      <c r="T11" s="12"/>
      <c r="U11" s="30"/>
      <c r="V11" s="12"/>
      <c r="W11" s="30"/>
      <c r="X11" s="12"/>
      <c r="Y11" s="30"/>
      <c r="Z11" s="14"/>
      <c r="AA11" s="761"/>
      <c r="AB11" s="12">
        <v>6021</v>
      </c>
      <c r="AC11" s="30">
        <v>10280</v>
      </c>
      <c r="AD11" s="14"/>
      <c r="AE11" s="750"/>
      <c r="AF11" s="12"/>
      <c r="AG11" s="30"/>
      <c r="AH11" s="14"/>
      <c r="AI11" s="30"/>
      <c r="AJ11" s="146"/>
      <c r="AK11" s="766"/>
      <c r="AL11" s="1"/>
      <c r="AM11" s="3"/>
      <c r="AN11" s="10"/>
      <c r="AO11" s="772"/>
      <c r="AP11" s="14"/>
      <c r="AQ11" s="30"/>
      <c r="AR11" s="16">
        <v>1221</v>
      </c>
      <c r="AS11" s="774"/>
      <c r="AT11" s="12"/>
      <c r="AU11" s="30"/>
      <c r="AV11" s="224">
        <f t="shared" si="0"/>
        <v>7242</v>
      </c>
      <c r="AW11" s="752">
        <f t="shared" si="1"/>
        <v>10280</v>
      </c>
      <c r="AX11" s="158"/>
      <c r="AY11" s="678"/>
      <c r="AZ11" s="224">
        <f t="shared" si="2"/>
        <v>7242</v>
      </c>
      <c r="BA11" s="35">
        <f t="shared" si="3"/>
        <v>10280</v>
      </c>
    </row>
    <row r="12" spans="1:54" ht="15" x14ac:dyDescent="0.3">
      <c r="A12" s="937" t="s">
        <v>357</v>
      </c>
      <c r="B12" s="37">
        <v>537</v>
      </c>
      <c r="C12" s="756">
        <v>539</v>
      </c>
      <c r="D12" s="14">
        <v>715</v>
      </c>
      <c r="E12" s="750">
        <v>2044</v>
      </c>
      <c r="F12" s="12">
        <v>10</v>
      </c>
      <c r="G12" s="30">
        <v>54</v>
      </c>
      <c r="H12" s="14">
        <v>1406</v>
      </c>
      <c r="I12" s="750">
        <v>1550</v>
      </c>
      <c r="J12" s="12">
        <v>1958</v>
      </c>
      <c r="K12" s="30">
        <v>3052</v>
      </c>
      <c r="L12" s="12">
        <v>757</v>
      </c>
      <c r="M12" s="15">
        <v>1710</v>
      </c>
      <c r="N12" s="14"/>
      <c r="O12" s="750"/>
      <c r="P12" s="12">
        <v>1269</v>
      </c>
      <c r="Q12" s="30">
        <v>891</v>
      </c>
      <c r="R12" s="14"/>
      <c r="S12" s="750"/>
      <c r="T12" s="12">
        <v>24</v>
      </c>
      <c r="U12" s="30">
        <v>44</v>
      </c>
      <c r="V12" s="12">
        <v>34924</v>
      </c>
      <c r="W12" s="30">
        <v>75534</v>
      </c>
      <c r="X12" s="12">
        <v>8782</v>
      </c>
      <c r="Y12" s="30">
        <v>12798</v>
      </c>
      <c r="Z12" s="14"/>
      <c r="AA12" s="761">
        <v>8</v>
      </c>
      <c r="AB12" s="12"/>
      <c r="AC12" s="30"/>
      <c r="AD12" s="14">
        <v>1956</v>
      </c>
      <c r="AE12" s="750">
        <v>939</v>
      </c>
      <c r="AF12" s="12">
        <v>14432</v>
      </c>
      <c r="AG12" s="30">
        <v>17279</v>
      </c>
      <c r="AH12" s="14">
        <v>247</v>
      </c>
      <c r="AI12" s="30">
        <v>680</v>
      </c>
      <c r="AJ12" s="146">
        <v>1</v>
      </c>
      <c r="AK12" s="766">
        <v>13</v>
      </c>
      <c r="AL12" s="1"/>
      <c r="AM12" s="3"/>
      <c r="AN12" s="10">
        <v>3662</v>
      </c>
      <c r="AO12" s="772">
        <v>20501</v>
      </c>
      <c r="AP12" s="14">
        <v>2617</v>
      </c>
      <c r="AQ12" s="30">
        <v>1868</v>
      </c>
      <c r="AR12" s="16"/>
      <c r="AS12" s="774"/>
      <c r="AT12" s="12">
        <v>3866</v>
      </c>
      <c r="AU12" s="30">
        <v>2601</v>
      </c>
      <c r="AV12" s="224"/>
      <c r="AW12" s="752"/>
      <c r="AX12" s="158">
        <v>6524</v>
      </c>
      <c r="AY12" s="678">
        <v>6144</v>
      </c>
      <c r="AZ12" s="224"/>
      <c r="BA12" s="35"/>
    </row>
    <row r="13" spans="1:54" ht="15" x14ac:dyDescent="0.3">
      <c r="A13" s="937" t="s">
        <v>74</v>
      </c>
      <c r="B13" s="37">
        <v>6256</v>
      </c>
      <c r="C13" s="756">
        <v>3214</v>
      </c>
      <c r="D13" s="14"/>
      <c r="E13" s="750">
        <v>493</v>
      </c>
      <c r="F13" s="12">
        <v>1894</v>
      </c>
      <c r="G13" s="30">
        <v>2174</v>
      </c>
      <c r="H13" s="14">
        <v>24729</v>
      </c>
      <c r="I13" s="750">
        <v>19593</v>
      </c>
      <c r="J13" s="12">
        <v>3329</v>
      </c>
      <c r="K13" s="30">
        <v>4898</v>
      </c>
      <c r="L13" s="12">
        <v>3127</v>
      </c>
      <c r="M13" s="15">
        <v>1528</v>
      </c>
      <c r="N13" s="14">
        <v>6867</v>
      </c>
      <c r="O13" s="750">
        <v>6367</v>
      </c>
      <c r="P13" s="12">
        <v>3048</v>
      </c>
      <c r="Q13" s="30">
        <v>4117</v>
      </c>
      <c r="R13" s="14"/>
      <c r="S13" s="750">
        <v>4483</v>
      </c>
      <c r="T13" s="12">
        <v>8376</v>
      </c>
      <c r="U13" s="30">
        <v>9053</v>
      </c>
      <c r="V13" s="12">
        <v>37287</v>
      </c>
      <c r="W13" s="30">
        <v>39649</v>
      </c>
      <c r="X13" s="12">
        <v>27334</v>
      </c>
      <c r="Y13" s="30">
        <v>33128</v>
      </c>
      <c r="Z13" s="14">
        <v>2445</v>
      </c>
      <c r="AA13" s="761">
        <v>1590</v>
      </c>
      <c r="AB13" s="12"/>
      <c r="AC13" s="30"/>
      <c r="AD13" s="14">
        <v>24433</v>
      </c>
      <c r="AE13" s="750">
        <v>33813</v>
      </c>
      <c r="AF13" s="12">
        <v>22385</v>
      </c>
      <c r="AG13" s="30">
        <v>13916</v>
      </c>
      <c r="AH13" s="14">
        <v>15865</v>
      </c>
      <c r="AI13" s="30">
        <v>21461</v>
      </c>
      <c r="AJ13" s="146">
        <v>36600</v>
      </c>
      <c r="AK13" s="766">
        <v>36274</v>
      </c>
      <c r="AL13" s="1"/>
      <c r="AM13" s="3"/>
      <c r="AN13" s="10">
        <v>8121</v>
      </c>
      <c r="AO13" s="772">
        <v>6357</v>
      </c>
      <c r="AP13" s="14">
        <v>37503</v>
      </c>
      <c r="AQ13" s="30">
        <v>29784</v>
      </c>
      <c r="AR13" s="16"/>
      <c r="AS13" s="774">
        <v>198</v>
      </c>
      <c r="AT13" s="12">
        <v>9654</v>
      </c>
      <c r="AU13" s="30">
        <v>7129</v>
      </c>
      <c r="AV13" s="224"/>
      <c r="AW13" s="752"/>
      <c r="AX13" s="158"/>
      <c r="AY13" s="678">
        <v>1229</v>
      </c>
      <c r="AZ13" s="224"/>
      <c r="BA13" s="35"/>
    </row>
    <row r="14" spans="1:54" ht="15" x14ac:dyDescent="0.3">
      <c r="A14" s="27" t="s">
        <v>16</v>
      </c>
      <c r="B14" s="37">
        <v>2126</v>
      </c>
      <c r="C14" s="757">
        <v>238</v>
      </c>
      <c r="D14" s="14"/>
      <c r="E14" s="255"/>
      <c r="F14" s="12"/>
      <c r="G14" s="15"/>
      <c r="H14" s="14">
        <v>163</v>
      </c>
      <c r="I14" s="750">
        <v>868</v>
      </c>
      <c r="J14" s="12">
        <v>51</v>
      </c>
      <c r="K14" s="15">
        <v>54</v>
      </c>
      <c r="L14" s="12">
        <v>2509</v>
      </c>
      <c r="M14" s="15">
        <v>5231</v>
      </c>
      <c r="N14" s="14"/>
      <c r="O14" s="255"/>
      <c r="P14" s="12">
        <v>235</v>
      </c>
      <c r="Q14" s="15"/>
      <c r="R14" s="14"/>
      <c r="S14" s="750">
        <v>3027</v>
      </c>
      <c r="T14" s="12"/>
      <c r="U14" s="15"/>
      <c r="V14" s="12"/>
      <c r="W14" s="30"/>
      <c r="X14" s="12">
        <v>38</v>
      </c>
      <c r="Y14" s="30"/>
      <c r="Z14" s="14">
        <v>54</v>
      </c>
      <c r="AA14" s="761">
        <v>70</v>
      </c>
      <c r="AB14" s="12"/>
      <c r="AC14" s="30"/>
      <c r="AD14" s="14">
        <v>149</v>
      </c>
      <c r="AE14" s="750">
        <v>561</v>
      </c>
      <c r="AF14" s="12"/>
      <c r="AG14" s="30"/>
      <c r="AH14" s="14"/>
      <c r="AI14" s="30"/>
      <c r="AJ14" s="146"/>
      <c r="AK14" s="766"/>
      <c r="AL14" s="1"/>
      <c r="AM14" s="3"/>
      <c r="AN14" s="10">
        <v>1852</v>
      </c>
      <c r="AO14" s="772"/>
      <c r="AP14" s="14"/>
      <c r="AQ14" s="30"/>
      <c r="AR14" s="16"/>
      <c r="AS14" s="774"/>
      <c r="AT14" s="12"/>
      <c r="AU14" s="30"/>
      <c r="AV14" s="224">
        <f t="shared" si="0"/>
        <v>7177</v>
      </c>
      <c r="AW14" s="752">
        <f t="shared" si="1"/>
        <v>10049</v>
      </c>
      <c r="AX14" s="158">
        <v>401</v>
      </c>
      <c r="AY14" s="678">
        <v>920</v>
      </c>
      <c r="AZ14" s="224">
        <f t="shared" si="2"/>
        <v>7578</v>
      </c>
      <c r="BA14" s="35">
        <f t="shared" si="3"/>
        <v>10969</v>
      </c>
    </row>
    <row r="15" spans="1:54" ht="15" x14ac:dyDescent="0.3">
      <c r="A15" s="27" t="s">
        <v>17</v>
      </c>
      <c r="B15" s="37"/>
      <c r="C15" s="757"/>
      <c r="D15" s="14"/>
      <c r="E15" s="255"/>
      <c r="F15" s="12">
        <v>168</v>
      </c>
      <c r="G15" s="15">
        <v>84</v>
      </c>
      <c r="H15" s="14"/>
      <c r="I15" s="750"/>
      <c r="J15" s="12"/>
      <c r="K15" s="15"/>
      <c r="L15" s="12"/>
      <c r="M15" s="15"/>
      <c r="N15" s="14"/>
      <c r="O15" s="255"/>
      <c r="P15" s="12"/>
      <c r="Q15" s="15"/>
      <c r="R15" s="14"/>
      <c r="S15" s="750"/>
      <c r="T15" s="12">
        <v>157</v>
      </c>
      <c r="U15" s="15">
        <v>129</v>
      </c>
      <c r="V15" s="12">
        <v>137</v>
      </c>
      <c r="W15" s="30">
        <v>112</v>
      </c>
      <c r="X15" s="12">
        <v>790</v>
      </c>
      <c r="Y15" s="30">
        <v>498</v>
      </c>
      <c r="Z15" s="14"/>
      <c r="AA15" s="761"/>
      <c r="AB15" s="12"/>
      <c r="AC15" s="30"/>
      <c r="AD15" s="14"/>
      <c r="AE15" s="750"/>
      <c r="AF15" s="12">
        <v>1455</v>
      </c>
      <c r="AG15" s="30">
        <v>4306</v>
      </c>
      <c r="AH15" s="14">
        <v>1643</v>
      </c>
      <c r="AI15" s="30">
        <v>1711</v>
      </c>
      <c r="AJ15" s="146"/>
      <c r="AK15" s="766"/>
      <c r="AL15" s="1"/>
      <c r="AM15" s="3"/>
      <c r="AN15" s="10">
        <v>2</v>
      </c>
      <c r="AO15" s="772">
        <v>18</v>
      </c>
      <c r="AP15" s="14"/>
      <c r="AQ15" s="30"/>
      <c r="AR15" s="16"/>
      <c r="AS15" s="774"/>
      <c r="AT15" s="12"/>
      <c r="AU15" s="30"/>
      <c r="AV15" s="224">
        <f t="shared" si="0"/>
        <v>4352</v>
      </c>
      <c r="AW15" s="752">
        <f t="shared" si="1"/>
        <v>6858</v>
      </c>
      <c r="AX15" s="158">
        <v>10004</v>
      </c>
      <c r="AY15" s="678">
        <v>5624</v>
      </c>
      <c r="AZ15" s="224">
        <f t="shared" si="2"/>
        <v>14356</v>
      </c>
      <c r="BA15" s="35">
        <f t="shared" si="3"/>
        <v>12482</v>
      </c>
    </row>
    <row r="16" spans="1:54" ht="15" x14ac:dyDescent="0.3">
      <c r="A16" s="27" t="s">
        <v>18</v>
      </c>
      <c r="B16" s="37"/>
      <c r="C16" s="757"/>
      <c r="D16" s="14"/>
      <c r="E16" s="255"/>
      <c r="F16" s="12"/>
      <c r="G16" s="15"/>
      <c r="H16" s="14"/>
      <c r="I16" s="750"/>
      <c r="J16" s="12"/>
      <c r="K16" s="15"/>
      <c r="L16" s="12"/>
      <c r="M16" s="15"/>
      <c r="N16" s="14"/>
      <c r="O16" s="255"/>
      <c r="P16" s="12"/>
      <c r="Q16" s="15"/>
      <c r="R16" s="14"/>
      <c r="S16" s="255"/>
      <c r="T16" s="12"/>
      <c r="U16" s="15"/>
      <c r="V16" s="12"/>
      <c r="W16" s="30"/>
      <c r="X16" s="12"/>
      <c r="Y16" s="30"/>
      <c r="Z16" s="14"/>
      <c r="AA16" s="761"/>
      <c r="AB16" s="12"/>
      <c r="AC16" s="30"/>
      <c r="AD16" s="14"/>
      <c r="AE16" s="750"/>
      <c r="AF16" s="12"/>
      <c r="AG16" s="30"/>
      <c r="AH16" s="14"/>
      <c r="AI16" s="30"/>
      <c r="AJ16" s="146"/>
      <c r="AK16" s="766"/>
      <c r="AL16" s="1"/>
      <c r="AM16" s="3"/>
      <c r="AN16" s="10"/>
      <c r="AO16" s="772"/>
      <c r="AP16" s="14"/>
      <c r="AQ16" s="30"/>
      <c r="AR16" s="16"/>
      <c r="AS16" s="774"/>
      <c r="AT16" s="12"/>
      <c r="AU16" s="30"/>
      <c r="AV16" s="224">
        <f t="shared" si="0"/>
        <v>0</v>
      </c>
      <c r="AW16" s="752">
        <f t="shared" si="1"/>
        <v>0</v>
      </c>
      <c r="AX16" s="158"/>
      <c r="AY16" s="678"/>
      <c r="AZ16" s="224">
        <f t="shared" si="2"/>
        <v>0</v>
      </c>
      <c r="BA16" s="35">
        <f t="shared" si="3"/>
        <v>0</v>
      </c>
    </row>
    <row r="17" spans="1:53" ht="15.75" thickBot="1" x14ac:dyDescent="0.35">
      <c r="A17" s="27" t="s">
        <v>19</v>
      </c>
      <c r="B17" s="422">
        <v>39</v>
      </c>
      <c r="C17" s="758">
        <v>340</v>
      </c>
      <c r="D17" s="423">
        <v>1</v>
      </c>
      <c r="E17" s="754">
        <v>2154</v>
      </c>
      <c r="F17" s="425"/>
      <c r="G17" s="424"/>
      <c r="H17" s="423">
        <v>-370</v>
      </c>
      <c r="I17" s="754">
        <v>5974</v>
      </c>
      <c r="J17" s="425"/>
      <c r="K17" s="424">
        <v>33</v>
      </c>
      <c r="L17" s="425">
        <v>-6</v>
      </c>
      <c r="M17" s="424">
        <v>883</v>
      </c>
      <c r="N17" s="423"/>
      <c r="O17" s="754"/>
      <c r="P17" s="425">
        <v>40</v>
      </c>
      <c r="Q17" s="424">
        <v>109</v>
      </c>
      <c r="R17" s="423"/>
      <c r="S17" s="754"/>
      <c r="T17" s="425"/>
      <c r="U17" s="424"/>
      <c r="V17" s="425">
        <v>67</v>
      </c>
      <c r="W17" s="30">
        <v>411</v>
      </c>
      <c r="X17" s="425">
        <v>90</v>
      </c>
      <c r="Y17" s="30">
        <v>5462</v>
      </c>
      <c r="Z17" s="423"/>
      <c r="AA17" s="761"/>
      <c r="AB17" s="425">
        <v>3</v>
      </c>
      <c r="AC17" s="30"/>
      <c r="AD17" s="423">
        <v>70</v>
      </c>
      <c r="AE17" s="750">
        <v>805</v>
      </c>
      <c r="AF17" s="425">
        <v>627</v>
      </c>
      <c r="AG17" s="30">
        <v>16896</v>
      </c>
      <c r="AH17" s="423">
        <v>116</v>
      </c>
      <c r="AI17" s="30">
        <v>7787</v>
      </c>
      <c r="AJ17" s="154"/>
      <c r="AK17" s="766"/>
      <c r="AL17" s="190"/>
      <c r="AM17" s="194"/>
      <c r="AN17" s="777"/>
      <c r="AO17" s="773">
        <v>649</v>
      </c>
      <c r="AP17" s="423">
        <v>-1</v>
      </c>
      <c r="AQ17" s="30"/>
      <c r="AR17" s="426"/>
      <c r="AS17" s="774"/>
      <c r="AT17" s="425">
        <v>38</v>
      </c>
      <c r="AU17" s="30">
        <v>14225</v>
      </c>
      <c r="AV17" s="224">
        <f t="shared" si="0"/>
        <v>714</v>
      </c>
      <c r="AW17" s="752">
        <f t="shared" si="1"/>
        <v>55728</v>
      </c>
      <c r="AX17" s="427"/>
      <c r="AY17" s="678">
        <v>10149</v>
      </c>
      <c r="AZ17" s="679">
        <f t="shared" si="2"/>
        <v>714</v>
      </c>
      <c r="BA17" s="428">
        <f t="shared" si="3"/>
        <v>65877</v>
      </c>
    </row>
    <row r="18" spans="1:53" ht="15.75" thickBot="1" x14ac:dyDescent="0.35">
      <c r="A18" s="997" t="s">
        <v>74</v>
      </c>
      <c r="B18" s="987"/>
      <c r="C18" s="988"/>
      <c r="D18" s="501"/>
      <c r="E18" s="23"/>
      <c r="F18" s="550"/>
      <c r="G18" s="989"/>
      <c r="H18" s="501"/>
      <c r="I18" s="23"/>
      <c r="J18" s="550"/>
      <c r="K18" s="989"/>
      <c r="L18" s="550"/>
      <c r="M18" s="989"/>
      <c r="N18" s="501"/>
      <c r="O18" s="23"/>
      <c r="P18" s="550"/>
      <c r="Q18" s="989"/>
      <c r="R18" s="501"/>
      <c r="S18" s="23"/>
      <c r="T18" s="550"/>
      <c r="U18" s="989"/>
      <c r="V18" s="550"/>
      <c r="W18" s="989"/>
      <c r="X18" s="550">
        <v>153</v>
      </c>
      <c r="Y18" s="989"/>
      <c r="Z18" s="501"/>
      <c r="AA18" s="990"/>
      <c r="AB18" s="550"/>
      <c r="AC18" s="989"/>
      <c r="AD18" s="501"/>
      <c r="AE18" s="23"/>
      <c r="AF18" s="550"/>
      <c r="AG18" s="989"/>
      <c r="AH18" s="501"/>
      <c r="AI18" s="989"/>
      <c r="AJ18" s="991"/>
      <c r="AK18" s="992"/>
      <c r="AL18" s="551"/>
      <c r="AM18" s="504"/>
      <c r="AN18" s="993"/>
      <c r="AO18" s="994"/>
      <c r="AP18" s="501"/>
      <c r="AQ18" s="989"/>
      <c r="AR18" s="509"/>
      <c r="AS18" s="995"/>
      <c r="AT18" s="550"/>
      <c r="AU18" s="989"/>
      <c r="AV18" s="679"/>
      <c r="AW18" s="428"/>
      <c r="AX18" s="721"/>
      <c r="AY18" s="996"/>
      <c r="AZ18" s="679"/>
      <c r="BA18" s="428"/>
    </row>
    <row r="19" spans="1:53" s="257" customFormat="1" ht="15" thickBot="1" x14ac:dyDescent="0.35">
      <c r="A19" s="755" t="s">
        <v>20</v>
      </c>
      <c r="B19" s="429">
        <f t="shared" ref="B19:AG19" si="4">SUM(B5:B17)</f>
        <v>100234</v>
      </c>
      <c r="C19" s="434">
        <f t="shared" si="4"/>
        <v>96527</v>
      </c>
      <c r="D19" s="433">
        <f t="shared" si="4"/>
        <v>1328</v>
      </c>
      <c r="E19" s="430">
        <f t="shared" si="4"/>
        <v>5640</v>
      </c>
      <c r="F19" s="429">
        <f t="shared" si="4"/>
        <v>10393</v>
      </c>
      <c r="G19" s="434">
        <f t="shared" si="4"/>
        <v>8676</v>
      </c>
      <c r="H19" s="433">
        <f t="shared" si="4"/>
        <v>256943</v>
      </c>
      <c r="I19" s="430">
        <f t="shared" si="4"/>
        <v>186079</v>
      </c>
      <c r="J19" s="429">
        <f t="shared" si="4"/>
        <v>44633</v>
      </c>
      <c r="K19" s="434">
        <f t="shared" si="4"/>
        <v>50303</v>
      </c>
      <c r="L19" s="429">
        <f t="shared" si="4"/>
        <v>76405</v>
      </c>
      <c r="M19" s="434">
        <f t="shared" si="4"/>
        <v>67482</v>
      </c>
      <c r="N19" s="433">
        <f t="shared" si="4"/>
        <v>15616</v>
      </c>
      <c r="O19" s="430">
        <f t="shared" si="4"/>
        <v>12184</v>
      </c>
      <c r="P19" s="429">
        <f t="shared" si="4"/>
        <v>24028</v>
      </c>
      <c r="Q19" s="434">
        <f t="shared" si="4"/>
        <v>25711</v>
      </c>
      <c r="R19" s="433">
        <f t="shared" si="4"/>
        <v>0</v>
      </c>
      <c r="S19" s="430">
        <f t="shared" si="4"/>
        <v>53555</v>
      </c>
      <c r="T19" s="429">
        <f t="shared" si="4"/>
        <v>17294</v>
      </c>
      <c r="U19" s="434">
        <f t="shared" si="4"/>
        <v>14084</v>
      </c>
      <c r="V19" s="429">
        <f t="shared" si="4"/>
        <v>376567</v>
      </c>
      <c r="W19" s="434">
        <f t="shared" si="4"/>
        <v>409092</v>
      </c>
      <c r="X19" s="429">
        <f>SUM(X5:X18)</f>
        <v>265835</v>
      </c>
      <c r="Y19" s="434">
        <f t="shared" si="4"/>
        <v>286278</v>
      </c>
      <c r="Z19" s="433">
        <f t="shared" si="4"/>
        <v>19615</v>
      </c>
      <c r="AA19" s="430">
        <f t="shared" si="4"/>
        <v>17663</v>
      </c>
      <c r="AB19" s="429">
        <f t="shared" si="4"/>
        <v>135151</v>
      </c>
      <c r="AC19" s="434">
        <f t="shared" si="4"/>
        <v>101923</v>
      </c>
      <c r="AD19" s="433">
        <f t="shared" si="4"/>
        <v>127354</v>
      </c>
      <c r="AE19" s="430">
        <f t="shared" si="4"/>
        <v>115632</v>
      </c>
      <c r="AF19" s="429">
        <f t="shared" si="4"/>
        <v>240784</v>
      </c>
      <c r="AG19" s="434">
        <f t="shared" si="4"/>
        <v>258759</v>
      </c>
      <c r="AH19" s="433">
        <f t="shared" ref="AH19:AU19" si="5">SUM(AH5:AH17)</f>
        <v>125826</v>
      </c>
      <c r="AI19" s="434">
        <f t="shared" si="5"/>
        <v>104764</v>
      </c>
      <c r="AJ19" s="433">
        <f t="shared" si="5"/>
        <v>73247</v>
      </c>
      <c r="AK19" s="430">
        <f t="shared" si="5"/>
        <v>73151</v>
      </c>
      <c r="AL19" s="429">
        <f t="shared" si="5"/>
        <v>0</v>
      </c>
      <c r="AM19" s="432">
        <f t="shared" si="5"/>
        <v>0</v>
      </c>
      <c r="AN19" s="769">
        <f t="shared" si="5"/>
        <v>928888</v>
      </c>
      <c r="AO19" s="770">
        <f t="shared" si="5"/>
        <v>769530</v>
      </c>
      <c r="AP19" s="429">
        <f t="shared" si="5"/>
        <v>129841</v>
      </c>
      <c r="AQ19" s="434">
        <f t="shared" si="5"/>
        <v>107239</v>
      </c>
      <c r="AR19" s="429">
        <f t="shared" si="5"/>
        <v>83512</v>
      </c>
      <c r="AS19" s="430">
        <f t="shared" si="5"/>
        <v>52119</v>
      </c>
      <c r="AT19" s="429">
        <f t="shared" si="5"/>
        <v>275316</v>
      </c>
      <c r="AU19" s="434">
        <f t="shared" si="5"/>
        <v>200992</v>
      </c>
      <c r="AV19" s="435">
        <f t="shared" si="0"/>
        <v>3328810</v>
      </c>
      <c r="AW19" s="436">
        <f t="shared" si="1"/>
        <v>3017383</v>
      </c>
      <c r="AX19" s="437">
        <f>SUM(AX5:AX17)</f>
        <v>8359029</v>
      </c>
      <c r="AY19" s="438">
        <f>SUM(AY5:AY17)</f>
        <v>7361410</v>
      </c>
      <c r="AZ19" s="435">
        <f t="shared" si="2"/>
        <v>11687839</v>
      </c>
      <c r="BA19" s="439">
        <f t="shared" si="3"/>
        <v>10378793</v>
      </c>
    </row>
    <row r="20" spans="1:53" s="489" customFormat="1" ht="15" thickBot="1" x14ac:dyDescent="0.35">
      <c r="A20" s="475" t="s">
        <v>11</v>
      </c>
      <c r="B20" s="476"/>
      <c r="C20" s="759"/>
      <c r="D20" s="477"/>
      <c r="E20" s="751"/>
      <c r="F20" s="479"/>
      <c r="G20" s="478"/>
      <c r="H20" s="477"/>
      <c r="I20" s="751"/>
      <c r="J20" s="479"/>
      <c r="K20" s="478"/>
      <c r="L20" s="479"/>
      <c r="M20" s="478"/>
      <c r="N20" s="477"/>
      <c r="O20" s="760"/>
      <c r="P20" s="482"/>
      <c r="Q20" s="481"/>
      <c r="R20" s="480">
        <v>1703</v>
      </c>
      <c r="S20" s="776">
        <v>1260</v>
      </c>
      <c r="T20" s="482"/>
      <c r="U20" s="481"/>
      <c r="V20" s="482"/>
      <c r="W20" s="481"/>
      <c r="X20" s="482"/>
      <c r="Y20" s="481"/>
      <c r="Z20" s="480"/>
      <c r="AA20" s="762"/>
      <c r="AB20" s="479"/>
      <c r="AC20" s="478"/>
      <c r="AD20" s="477">
        <v>239</v>
      </c>
      <c r="AE20" s="760">
        <v>35</v>
      </c>
      <c r="AF20" s="479"/>
      <c r="AG20" s="478"/>
      <c r="AH20" s="477"/>
      <c r="AI20" s="765"/>
      <c r="AJ20" s="477"/>
      <c r="AK20" s="751"/>
      <c r="AL20" s="767"/>
      <c r="AM20" s="483"/>
      <c r="AN20" s="484"/>
      <c r="AO20" s="768"/>
      <c r="AP20" s="479"/>
      <c r="AQ20" s="478"/>
      <c r="AR20" s="485"/>
      <c r="AS20" s="775"/>
      <c r="AT20" s="479"/>
      <c r="AU20" s="478"/>
      <c r="AV20" s="482">
        <f t="shared" si="0"/>
        <v>1942</v>
      </c>
      <c r="AW20" s="753">
        <f t="shared" si="1"/>
        <v>1295</v>
      </c>
      <c r="AX20" s="487"/>
      <c r="AY20" s="486"/>
      <c r="AZ20" s="482">
        <f t="shared" si="2"/>
        <v>1942</v>
      </c>
      <c r="BA20" s="488">
        <f t="shared" si="3"/>
        <v>1295</v>
      </c>
    </row>
    <row r="21" spans="1:53" s="257" customFormat="1" ht="15" thickBot="1" x14ac:dyDescent="0.35">
      <c r="A21" s="755" t="s">
        <v>12</v>
      </c>
      <c r="B21" s="429">
        <f t="shared" ref="B21:AG21" si="6">B19+B20</f>
        <v>100234</v>
      </c>
      <c r="C21" s="434">
        <f t="shared" si="6"/>
        <v>96527</v>
      </c>
      <c r="D21" s="433">
        <f t="shared" si="6"/>
        <v>1328</v>
      </c>
      <c r="E21" s="430">
        <f t="shared" si="6"/>
        <v>5640</v>
      </c>
      <c r="F21" s="429">
        <f t="shared" si="6"/>
        <v>10393</v>
      </c>
      <c r="G21" s="434">
        <f t="shared" si="6"/>
        <v>8676</v>
      </c>
      <c r="H21" s="433">
        <f t="shared" si="6"/>
        <v>256943</v>
      </c>
      <c r="I21" s="430">
        <f t="shared" si="6"/>
        <v>186079</v>
      </c>
      <c r="J21" s="429">
        <f t="shared" si="6"/>
        <v>44633</v>
      </c>
      <c r="K21" s="434">
        <f t="shared" si="6"/>
        <v>50303</v>
      </c>
      <c r="L21" s="429">
        <f t="shared" si="6"/>
        <v>76405</v>
      </c>
      <c r="M21" s="434">
        <f t="shared" si="6"/>
        <v>67482</v>
      </c>
      <c r="N21" s="433">
        <f t="shared" si="6"/>
        <v>15616</v>
      </c>
      <c r="O21" s="430">
        <f t="shared" si="6"/>
        <v>12184</v>
      </c>
      <c r="P21" s="429">
        <f t="shared" si="6"/>
        <v>24028</v>
      </c>
      <c r="Q21" s="434">
        <f t="shared" si="6"/>
        <v>25711</v>
      </c>
      <c r="R21" s="433">
        <f t="shared" si="6"/>
        <v>1703</v>
      </c>
      <c r="S21" s="430">
        <f t="shared" si="6"/>
        <v>54815</v>
      </c>
      <c r="T21" s="429">
        <f t="shared" si="6"/>
        <v>17294</v>
      </c>
      <c r="U21" s="434">
        <f t="shared" si="6"/>
        <v>14084</v>
      </c>
      <c r="V21" s="429">
        <f t="shared" si="6"/>
        <v>376567</v>
      </c>
      <c r="W21" s="434">
        <f t="shared" si="6"/>
        <v>409092</v>
      </c>
      <c r="X21" s="429">
        <f t="shared" si="6"/>
        <v>265835</v>
      </c>
      <c r="Y21" s="434">
        <f t="shared" si="6"/>
        <v>286278</v>
      </c>
      <c r="Z21" s="433">
        <f t="shared" si="6"/>
        <v>19615</v>
      </c>
      <c r="AA21" s="430">
        <f t="shared" si="6"/>
        <v>17663</v>
      </c>
      <c r="AB21" s="429">
        <f t="shared" si="6"/>
        <v>135151</v>
      </c>
      <c r="AC21" s="434">
        <f t="shared" si="6"/>
        <v>101923</v>
      </c>
      <c r="AD21" s="433">
        <f t="shared" si="6"/>
        <v>127593</v>
      </c>
      <c r="AE21" s="430">
        <f t="shared" si="6"/>
        <v>115667</v>
      </c>
      <c r="AF21" s="429">
        <f t="shared" si="6"/>
        <v>240784</v>
      </c>
      <c r="AG21" s="434">
        <f t="shared" si="6"/>
        <v>258759</v>
      </c>
      <c r="AH21" s="433">
        <f t="shared" ref="AH21:AU21" si="7">AH19+AH20</f>
        <v>125826</v>
      </c>
      <c r="AI21" s="434">
        <f t="shared" si="7"/>
        <v>104764</v>
      </c>
      <c r="AJ21" s="433">
        <f t="shared" si="7"/>
        <v>73247</v>
      </c>
      <c r="AK21" s="430">
        <f t="shared" si="7"/>
        <v>73151</v>
      </c>
      <c r="AL21" s="429">
        <f t="shared" si="7"/>
        <v>0</v>
      </c>
      <c r="AM21" s="432">
        <f t="shared" si="7"/>
        <v>0</v>
      </c>
      <c r="AN21" s="433">
        <f t="shared" si="7"/>
        <v>928888</v>
      </c>
      <c r="AO21" s="492">
        <f t="shared" si="7"/>
        <v>769530</v>
      </c>
      <c r="AP21" s="429">
        <f t="shared" si="7"/>
        <v>129841</v>
      </c>
      <c r="AQ21" s="434">
        <f t="shared" si="7"/>
        <v>107239</v>
      </c>
      <c r="AR21" s="429">
        <f t="shared" si="7"/>
        <v>83512</v>
      </c>
      <c r="AS21" s="430">
        <f t="shared" si="7"/>
        <v>52119</v>
      </c>
      <c r="AT21" s="429">
        <f t="shared" si="7"/>
        <v>275316</v>
      </c>
      <c r="AU21" s="434">
        <f t="shared" si="7"/>
        <v>200992</v>
      </c>
      <c r="AV21" s="435">
        <f t="shared" si="0"/>
        <v>3330752</v>
      </c>
      <c r="AW21" s="436">
        <f t="shared" si="1"/>
        <v>3018678</v>
      </c>
      <c r="AX21" s="435">
        <f>AX19+AX20</f>
        <v>8359029</v>
      </c>
      <c r="AY21" s="439">
        <f>AY19+AY20</f>
        <v>7361410</v>
      </c>
      <c r="AZ21" s="435">
        <f t="shared" si="2"/>
        <v>11689781</v>
      </c>
      <c r="BA21" s="439">
        <f t="shared" si="3"/>
        <v>10380088</v>
      </c>
    </row>
    <row r="23" spans="1:53" x14ac:dyDescent="0.3">
      <c r="AV23" s="23"/>
    </row>
  </sheetData>
  <mergeCells count="29">
    <mergeCell ref="AV3:AW3"/>
    <mergeCell ref="F3:G3"/>
    <mergeCell ref="D3:E3"/>
    <mergeCell ref="AT3:AU3"/>
    <mergeCell ref="AR3:AS3"/>
    <mergeCell ref="AB3:AC3"/>
    <mergeCell ref="AD3:AE3"/>
    <mergeCell ref="AF3:AG3"/>
    <mergeCell ref="AH3:AI3"/>
    <mergeCell ref="AJ3:AK3"/>
    <mergeCell ref="AL3:AM3"/>
    <mergeCell ref="AN3:AO3"/>
    <mergeCell ref="AP3:AQ3"/>
    <mergeCell ref="A1:AZ1"/>
    <mergeCell ref="A2:AZ2"/>
    <mergeCell ref="A3:A4"/>
    <mergeCell ref="P3:Q3"/>
    <mergeCell ref="R3:S3"/>
    <mergeCell ref="T3:U3"/>
    <mergeCell ref="V3:W3"/>
    <mergeCell ref="X3:Y3"/>
    <mergeCell ref="Z3:AA3"/>
    <mergeCell ref="B3:C3"/>
    <mergeCell ref="H3:I3"/>
    <mergeCell ref="J3:K3"/>
    <mergeCell ref="L3:M3"/>
    <mergeCell ref="N3:O3"/>
    <mergeCell ref="AX3:AY3"/>
    <mergeCell ref="AZ3:BA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BA45"/>
  <sheetViews>
    <sheetView workbookViewId="0">
      <pane xSplit="1" topLeftCell="AN1" activePane="topRight" state="frozen"/>
      <selection pane="topRight" activeCell="B10" sqref="B10"/>
    </sheetView>
  </sheetViews>
  <sheetFormatPr defaultRowHeight="14.25" x14ac:dyDescent="0.3"/>
  <cols>
    <col min="1" max="1" width="21" style="23" customWidth="1"/>
    <col min="2" max="53" width="12.85546875" style="23" bestFit="1" customWidth="1"/>
    <col min="54" max="16384" width="9.140625" style="23"/>
  </cols>
  <sheetData>
    <row r="1" spans="1:53" x14ac:dyDescent="0.3">
      <c r="A1" s="1028" t="s">
        <v>143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  <c r="L1" s="1028"/>
      <c r="M1" s="1028"/>
      <c r="N1" s="1028"/>
      <c r="O1" s="1028"/>
      <c r="P1" s="1028"/>
      <c r="Q1" s="1028"/>
      <c r="R1" s="1028"/>
      <c r="S1" s="1028"/>
      <c r="T1" s="1028"/>
      <c r="U1" s="1028"/>
      <c r="V1" s="1028"/>
      <c r="W1" s="1028"/>
      <c r="X1" s="1028"/>
      <c r="Y1" s="1028"/>
      <c r="Z1" s="1028"/>
      <c r="AA1" s="1028"/>
      <c r="AB1" s="1028"/>
      <c r="AC1" s="1028"/>
      <c r="AD1" s="1028"/>
      <c r="AE1" s="1028"/>
      <c r="AF1" s="1028"/>
      <c r="AG1" s="1028"/>
      <c r="AH1" s="1028"/>
      <c r="AI1" s="1028"/>
      <c r="AJ1" s="1028"/>
      <c r="AK1" s="1028"/>
      <c r="AL1" s="1028"/>
      <c r="AM1" s="1028"/>
      <c r="AN1" s="1028"/>
      <c r="AO1" s="1028"/>
      <c r="AP1" s="1028"/>
      <c r="AQ1" s="1028"/>
      <c r="AR1" s="1028"/>
      <c r="AS1" s="1028"/>
      <c r="AT1" s="1028"/>
      <c r="AU1" s="1028"/>
      <c r="AV1" s="1028"/>
      <c r="AW1" s="1028"/>
      <c r="AX1" s="1028"/>
      <c r="AY1" s="1028"/>
      <c r="AZ1" s="1028"/>
    </row>
    <row r="2" spans="1:53" ht="16.5" thickBot="1" x14ac:dyDescent="0.4">
      <c r="A2" s="1029" t="s">
        <v>364</v>
      </c>
      <c r="B2" s="1029"/>
      <c r="C2" s="1029"/>
      <c r="D2" s="1029"/>
      <c r="E2" s="1029"/>
      <c r="F2" s="1029"/>
      <c r="G2" s="1029"/>
      <c r="H2" s="1029"/>
      <c r="I2" s="1029"/>
      <c r="J2" s="1029"/>
      <c r="K2" s="1029"/>
      <c r="L2" s="1029"/>
      <c r="M2" s="1029"/>
      <c r="N2" s="1029"/>
      <c r="O2" s="1029"/>
      <c r="P2" s="1029"/>
      <c r="Q2" s="1029"/>
      <c r="R2" s="1029"/>
      <c r="S2" s="1029"/>
      <c r="T2" s="1029"/>
      <c r="U2" s="1029"/>
      <c r="V2" s="1029"/>
      <c r="W2" s="1029"/>
      <c r="X2" s="1029"/>
      <c r="Y2" s="1029"/>
      <c r="Z2" s="1029"/>
      <c r="AA2" s="1029"/>
      <c r="AB2" s="1029"/>
      <c r="AC2" s="1029"/>
      <c r="AD2" s="1029"/>
      <c r="AE2" s="1029"/>
      <c r="AF2" s="1029"/>
      <c r="AG2" s="1029"/>
      <c r="AH2" s="1029"/>
      <c r="AI2" s="1029"/>
      <c r="AJ2" s="1029"/>
      <c r="AK2" s="1029"/>
      <c r="AL2" s="1029"/>
      <c r="AM2" s="1029"/>
      <c r="AN2" s="1029"/>
      <c r="AO2" s="1029"/>
      <c r="AP2" s="1029"/>
      <c r="AQ2" s="1029"/>
      <c r="AR2" s="1029"/>
      <c r="AS2" s="1029"/>
      <c r="AT2" s="1029"/>
      <c r="AU2" s="1029"/>
      <c r="AV2" s="1029"/>
      <c r="AW2" s="1029"/>
      <c r="AX2" s="1029"/>
      <c r="AY2" s="1029"/>
      <c r="AZ2" s="1029"/>
    </row>
    <row r="3" spans="1:53" ht="41.25" customHeight="1" thickBot="1" x14ac:dyDescent="0.35">
      <c r="A3" s="1030" t="s">
        <v>0</v>
      </c>
      <c r="B3" s="1032" t="s">
        <v>149</v>
      </c>
      <c r="C3" s="1033"/>
      <c r="D3" s="1034" t="s">
        <v>150</v>
      </c>
      <c r="E3" s="1035"/>
      <c r="F3" s="1036" t="s">
        <v>151</v>
      </c>
      <c r="G3" s="1037"/>
      <c r="H3" s="1034" t="s">
        <v>152</v>
      </c>
      <c r="I3" s="1041"/>
      <c r="J3" s="1036" t="s">
        <v>153</v>
      </c>
      <c r="K3" s="1037"/>
      <c r="L3" s="1040" t="s">
        <v>154</v>
      </c>
      <c r="M3" s="1040"/>
      <c r="N3" s="1036" t="s">
        <v>253</v>
      </c>
      <c r="O3" s="1037"/>
      <c r="P3" s="1036" t="s">
        <v>155</v>
      </c>
      <c r="Q3" s="1037"/>
      <c r="R3" s="1036" t="s">
        <v>156</v>
      </c>
      <c r="S3" s="1037"/>
      <c r="T3" s="1040" t="s">
        <v>157</v>
      </c>
      <c r="U3" s="1040"/>
      <c r="V3" s="1036" t="s">
        <v>158</v>
      </c>
      <c r="W3" s="1037"/>
      <c r="X3" s="1040" t="s">
        <v>159</v>
      </c>
      <c r="Y3" s="1040"/>
      <c r="Z3" s="1036" t="s">
        <v>359</v>
      </c>
      <c r="AA3" s="1040"/>
      <c r="AB3" s="1038" t="s">
        <v>160</v>
      </c>
      <c r="AC3" s="1039"/>
      <c r="AD3" s="1036" t="s">
        <v>161</v>
      </c>
      <c r="AE3" s="1040"/>
      <c r="AF3" s="1036" t="s">
        <v>162</v>
      </c>
      <c r="AG3" s="1040"/>
      <c r="AH3" s="1036" t="s">
        <v>163</v>
      </c>
      <c r="AI3" s="1040"/>
      <c r="AJ3" s="1036" t="s">
        <v>164</v>
      </c>
      <c r="AK3" s="1040"/>
      <c r="AL3" s="1036" t="s">
        <v>165</v>
      </c>
      <c r="AM3" s="1040"/>
      <c r="AN3" s="1042" t="s">
        <v>166</v>
      </c>
      <c r="AO3" s="1043"/>
      <c r="AP3" s="1036" t="s">
        <v>167</v>
      </c>
      <c r="AQ3" s="1040"/>
      <c r="AR3" s="1036" t="s">
        <v>168</v>
      </c>
      <c r="AS3" s="1040"/>
      <c r="AT3" s="1038" t="s">
        <v>169</v>
      </c>
      <c r="AU3" s="1039"/>
      <c r="AV3" s="1034" t="s">
        <v>1</v>
      </c>
      <c r="AW3" s="1035"/>
      <c r="AX3" s="1038" t="s">
        <v>170</v>
      </c>
      <c r="AY3" s="1039"/>
      <c r="AZ3" s="1034" t="s">
        <v>2</v>
      </c>
      <c r="BA3" s="1035"/>
    </row>
    <row r="4" spans="1:53" s="322" customFormat="1" ht="15" customHeight="1" thickBot="1" x14ac:dyDescent="0.35">
      <c r="A4" s="1031"/>
      <c r="B4" s="330" t="s">
        <v>370</v>
      </c>
      <c r="C4" s="331" t="s">
        <v>353</v>
      </c>
      <c r="D4" s="330" t="s">
        <v>370</v>
      </c>
      <c r="E4" s="331" t="s">
        <v>353</v>
      </c>
      <c r="F4" s="330" t="s">
        <v>370</v>
      </c>
      <c r="G4" s="331" t="s">
        <v>353</v>
      </c>
      <c r="H4" s="330" t="s">
        <v>370</v>
      </c>
      <c r="I4" s="331" t="s">
        <v>353</v>
      </c>
      <c r="J4" s="330" t="s">
        <v>370</v>
      </c>
      <c r="K4" s="331" t="s">
        <v>353</v>
      </c>
      <c r="L4" s="330" t="s">
        <v>370</v>
      </c>
      <c r="M4" s="331" t="s">
        <v>353</v>
      </c>
      <c r="N4" s="330" t="s">
        <v>370</v>
      </c>
      <c r="O4" s="331" t="s">
        <v>353</v>
      </c>
      <c r="P4" s="330" t="s">
        <v>370</v>
      </c>
      <c r="Q4" s="331" t="s">
        <v>353</v>
      </c>
      <c r="R4" s="330" t="s">
        <v>370</v>
      </c>
      <c r="S4" s="331" t="s">
        <v>353</v>
      </c>
      <c r="T4" s="330" t="s">
        <v>370</v>
      </c>
      <c r="U4" s="331" t="s">
        <v>353</v>
      </c>
      <c r="V4" s="330" t="s">
        <v>370</v>
      </c>
      <c r="W4" s="331" t="s">
        <v>353</v>
      </c>
      <c r="X4" s="330" t="s">
        <v>370</v>
      </c>
      <c r="Y4" s="331" t="s">
        <v>353</v>
      </c>
      <c r="Z4" s="330" t="s">
        <v>370</v>
      </c>
      <c r="AA4" s="331" t="s">
        <v>353</v>
      </c>
      <c r="AB4" s="330" t="s">
        <v>370</v>
      </c>
      <c r="AC4" s="331" t="s">
        <v>353</v>
      </c>
      <c r="AD4" s="330" t="s">
        <v>370</v>
      </c>
      <c r="AE4" s="331" t="s">
        <v>353</v>
      </c>
      <c r="AF4" s="330" t="s">
        <v>370</v>
      </c>
      <c r="AG4" s="331" t="s">
        <v>353</v>
      </c>
      <c r="AH4" s="330" t="s">
        <v>370</v>
      </c>
      <c r="AI4" s="331" t="s">
        <v>353</v>
      </c>
      <c r="AJ4" s="330" t="s">
        <v>370</v>
      </c>
      <c r="AK4" s="331" t="s">
        <v>353</v>
      </c>
      <c r="AL4" s="330" t="s">
        <v>370</v>
      </c>
      <c r="AM4" s="331" t="s">
        <v>353</v>
      </c>
      <c r="AN4" s="330" t="s">
        <v>370</v>
      </c>
      <c r="AO4" s="331" t="s">
        <v>353</v>
      </c>
      <c r="AP4" s="330" t="s">
        <v>370</v>
      </c>
      <c r="AQ4" s="331" t="s">
        <v>353</v>
      </c>
      <c r="AR4" s="330" t="s">
        <v>370</v>
      </c>
      <c r="AS4" s="331" t="s">
        <v>353</v>
      </c>
      <c r="AT4" s="330" t="s">
        <v>370</v>
      </c>
      <c r="AU4" s="331" t="s">
        <v>353</v>
      </c>
      <c r="AV4" s="330" t="s">
        <v>370</v>
      </c>
      <c r="AW4" s="331" t="s">
        <v>353</v>
      </c>
      <c r="AX4" s="330" t="s">
        <v>370</v>
      </c>
      <c r="AY4" s="331" t="s">
        <v>353</v>
      </c>
      <c r="AZ4" s="330" t="s">
        <v>370</v>
      </c>
      <c r="BA4" s="331" t="s">
        <v>353</v>
      </c>
    </row>
    <row r="5" spans="1:53" ht="28.5" x14ac:dyDescent="0.3">
      <c r="A5" s="541" t="s">
        <v>109</v>
      </c>
      <c r="B5" s="328">
        <v>11617</v>
      </c>
      <c r="C5" s="470">
        <v>14021</v>
      </c>
      <c r="D5" s="328"/>
      <c r="E5" s="470"/>
      <c r="F5" s="328"/>
      <c r="G5" s="470"/>
      <c r="H5" s="328">
        <v>33769</v>
      </c>
      <c r="I5" s="470">
        <v>10671</v>
      </c>
      <c r="J5" s="328">
        <v>-16021</v>
      </c>
      <c r="K5" s="326">
        <v>-20091</v>
      </c>
      <c r="L5" s="324"/>
      <c r="M5" s="470"/>
      <c r="N5" s="328">
        <v>6115</v>
      </c>
      <c r="O5" s="326">
        <v>1790</v>
      </c>
      <c r="P5" s="328"/>
      <c r="Q5" s="326"/>
      <c r="R5" s="328"/>
      <c r="S5" s="326"/>
      <c r="T5" s="324"/>
      <c r="U5" s="470"/>
      <c r="V5" s="31">
        <v>48087</v>
      </c>
      <c r="W5" s="326">
        <v>32683</v>
      </c>
      <c r="X5" s="324">
        <v>78207</v>
      </c>
      <c r="Y5" s="644">
        <v>72946</v>
      </c>
      <c r="Z5" s="328"/>
      <c r="AA5" s="470"/>
      <c r="AB5" s="328">
        <v>3881</v>
      </c>
      <c r="AC5" s="470">
        <v>6144.72</v>
      </c>
      <c r="AD5" s="328">
        <v>42096</v>
      </c>
      <c r="AE5" s="470"/>
      <c r="AF5" s="328">
        <v>16202</v>
      </c>
      <c r="AG5" s="470">
        <v>14829</v>
      </c>
      <c r="AH5" s="328">
        <v>3936</v>
      </c>
      <c r="AI5" s="470">
        <v>2818</v>
      </c>
      <c r="AJ5" s="328"/>
      <c r="AK5" s="470"/>
      <c r="AL5" s="328"/>
      <c r="AM5" s="470"/>
      <c r="AN5" s="327">
        <v>29059</v>
      </c>
      <c r="AO5" s="630">
        <v>9303</v>
      </c>
      <c r="AP5" s="328"/>
      <c r="AQ5" s="470"/>
      <c r="AR5" s="328">
        <v>6173</v>
      </c>
      <c r="AS5" s="470">
        <v>10581</v>
      </c>
      <c r="AT5" s="328">
        <v>53616</v>
      </c>
      <c r="AU5" s="470">
        <v>2871</v>
      </c>
      <c r="AV5" s="328">
        <f t="shared" ref="AV5:AV25" si="0">SUM(B5+D5+F5+H5+J5+L5+N5+P5+R5+T5+V5+X5+Z5+AB5+AD5+AF5+AH5+AJ5+AL5+AN5+AP5+AR5+AT5)</f>
        <v>316737</v>
      </c>
      <c r="AW5" s="328">
        <f t="shared" ref="AW5:AW25" si="1">SUM(C5+E5+G5+I5+K5+M5+O5+Q5+S5+U5+W5+Y5+AA5+AC5+AE5+AG5+AI5+AK5+AM5+AO5+AQ5+AS5+AU5)</f>
        <v>158566.72</v>
      </c>
      <c r="AX5" s="328">
        <v>1661424</v>
      </c>
      <c r="AY5" s="325">
        <v>140786.76999999999</v>
      </c>
      <c r="AZ5" s="328">
        <f t="shared" ref="AZ5:AZ25" si="2">AV5+AX5</f>
        <v>1978161</v>
      </c>
      <c r="BA5" s="329">
        <f t="shared" ref="BA5:BA25" si="3">AW5+AY5</f>
        <v>299353.49</v>
      </c>
    </row>
    <row r="6" spans="1:53" ht="28.5" x14ac:dyDescent="0.3">
      <c r="A6" s="542" t="s">
        <v>110</v>
      </c>
      <c r="B6" s="37"/>
      <c r="C6" s="650"/>
      <c r="D6" s="12"/>
      <c r="E6" s="255"/>
      <c r="F6" s="12"/>
      <c r="G6" s="255"/>
      <c r="H6" s="12"/>
      <c r="I6" s="470"/>
      <c r="J6" s="12"/>
      <c r="K6" s="326"/>
      <c r="L6" s="14"/>
      <c r="M6" s="255"/>
      <c r="N6" s="12"/>
      <c r="O6" s="326"/>
      <c r="P6" s="12"/>
      <c r="Q6" s="326"/>
      <c r="R6" s="12"/>
      <c r="S6" s="15"/>
      <c r="T6" s="14"/>
      <c r="U6" s="255"/>
      <c r="V6" s="12"/>
      <c r="W6" s="326"/>
      <c r="X6" s="14"/>
      <c r="Y6" s="644"/>
      <c r="Z6" s="216"/>
      <c r="AA6" s="642"/>
      <c r="AB6" s="12"/>
      <c r="AC6" s="470"/>
      <c r="AD6" s="12"/>
      <c r="AE6" s="255"/>
      <c r="AF6" s="12"/>
      <c r="AG6" s="470"/>
      <c r="AH6" s="12"/>
      <c r="AI6" s="470"/>
      <c r="AJ6" s="12"/>
      <c r="AK6" s="255"/>
      <c r="AL6" s="201"/>
      <c r="AM6" s="470"/>
      <c r="AN6" s="201"/>
      <c r="AO6" s="630"/>
      <c r="AP6" s="12"/>
      <c r="AQ6" s="255"/>
      <c r="AR6" s="158"/>
      <c r="AS6" s="470"/>
      <c r="AT6" s="12"/>
      <c r="AU6" s="255"/>
      <c r="AV6" s="8">
        <f t="shared" si="0"/>
        <v>0</v>
      </c>
      <c r="AW6" s="8">
        <f t="shared" si="1"/>
        <v>0</v>
      </c>
      <c r="AX6" s="158"/>
      <c r="AY6" s="16"/>
      <c r="AZ6" s="8">
        <f t="shared" si="2"/>
        <v>0</v>
      </c>
      <c r="BA6" s="622">
        <f t="shared" si="3"/>
        <v>0</v>
      </c>
    </row>
    <row r="7" spans="1:53" ht="28.5" x14ac:dyDescent="0.3">
      <c r="A7" s="542" t="s">
        <v>111</v>
      </c>
      <c r="B7" s="37">
        <v>10275</v>
      </c>
      <c r="C7" s="650">
        <v>9248</v>
      </c>
      <c r="D7" s="12">
        <v>59</v>
      </c>
      <c r="E7" s="255">
        <v>72</v>
      </c>
      <c r="F7" s="12">
        <v>879</v>
      </c>
      <c r="G7" s="255">
        <v>2072</v>
      </c>
      <c r="H7" s="12">
        <v>27389</v>
      </c>
      <c r="I7" s="470">
        <v>27822</v>
      </c>
      <c r="J7" s="12">
        <v>1777</v>
      </c>
      <c r="K7" s="326">
        <v>1839</v>
      </c>
      <c r="L7" s="14">
        <v>4069</v>
      </c>
      <c r="M7" s="255">
        <v>3720</v>
      </c>
      <c r="N7" s="12">
        <v>2522</v>
      </c>
      <c r="O7" s="326">
        <v>2418</v>
      </c>
      <c r="P7" s="12">
        <v>2227</v>
      </c>
      <c r="Q7" s="326">
        <v>879</v>
      </c>
      <c r="R7" s="12"/>
      <c r="S7" s="15">
        <v>4004</v>
      </c>
      <c r="T7" s="14">
        <v>666</v>
      </c>
      <c r="U7" s="255">
        <v>458</v>
      </c>
      <c r="V7" s="12">
        <v>25478</v>
      </c>
      <c r="W7" s="326">
        <v>24912</v>
      </c>
      <c r="X7" s="14">
        <v>32376</v>
      </c>
      <c r="Y7" s="644">
        <v>25592</v>
      </c>
      <c r="Z7" s="38">
        <v>2476</v>
      </c>
      <c r="AA7" s="642">
        <v>2411</v>
      </c>
      <c r="AB7" s="12">
        <v>1849</v>
      </c>
      <c r="AC7" s="470">
        <v>2473.46</v>
      </c>
      <c r="AD7" s="12">
        <v>14274</v>
      </c>
      <c r="AE7" s="255">
        <v>13639</v>
      </c>
      <c r="AF7" s="12">
        <v>14343</v>
      </c>
      <c r="AG7" s="470">
        <v>10597</v>
      </c>
      <c r="AH7" s="12">
        <v>6261</v>
      </c>
      <c r="AI7" s="470">
        <v>5112</v>
      </c>
      <c r="AJ7" s="12">
        <v>4336</v>
      </c>
      <c r="AK7" s="255">
        <v>4547</v>
      </c>
      <c r="AL7" s="201"/>
      <c r="AM7" s="470"/>
      <c r="AN7" s="202">
        <v>32862</v>
      </c>
      <c r="AO7" s="630">
        <v>29154</v>
      </c>
      <c r="AP7" s="12">
        <v>2043</v>
      </c>
      <c r="AQ7" s="255">
        <v>1968</v>
      </c>
      <c r="AR7" s="158">
        <v>2646</v>
      </c>
      <c r="AS7" s="470">
        <v>2188</v>
      </c>
      <c r="AT7" s="12">
        <v>7177</v>
      </c>
      <c r="AU7" s="255">
        <v>6954</v>
      </c>
      <c r="AV7" s="8">
        <f t="shared" si="0"/>
        <v>195984</v>
      </c>
      <c r="AW7" s="8">
        <f t="shared" si="1"/>
        <v>182079.46000000002</v>
      </c>
      <c r="AX7" s="158">
        <v>23554</v>
      </c>
      <c r="AY7" s="16">
        <v>4296.45</v>
      </c>
      <c r="AZ7" s="8">
        <f t="shared" si="2"/>
        <v>219538</v>
      </c>
      <c r="BA7" s="622">
        <f t="shared" si="3"/>
        <v>186375.91000000003</v>
      </c>
    </row>
    <row r="8" spans="1:53" ht="42.75" x14ac:dyDescent="0.3">
      <c r="A8" s="542" t="s">
        <v>112</v>
      </c>
      <c r="B8" s="37">
        <v>8</v>
      </c>
      <c r="C8" s="650">
        <v>592</v>
      </c>
      <c r="D8" s="12"/>
      <c r="E8" s="255">
        <v>69</v>
      </c>
      <c r="F8" s="12">
        <v>59</v>
      </c>
      <c r="G8" s="255">
        <v>278</v>
      </c>
      <c r="H8" s="12">
        <v>21633</v>
      </c>
      <c r="I8" s="470">
        <v>17853</v>
      </c>
      <c r="J8" s="12">
        <v>173</v>
      </c>
      <c r="K8" s="326">
        <v>1183</v>
      </c>
      <c r="L8" s="14"/>
      <c r="M8" s="255">
        <v>353</v>
      </c>
      <c r="N8" s="12">
        <v>205</v>
      </c>
      <c r="O8" s="326">
        <v>505</v>
      </c>
      <c r="P8" s="12">
        <v>335</v>
      </c>
      <c r="Q8" s="326">
        <v>863</v>
      </c>
      <c r="R8" s="12"/>
      <c r="S8" s="15">
        <v>647</v>
      </c>
      <c r="T8" s="14">
        <v>13</v>
      </c>
      <c r="U8" s="255">
        <v>291</v>
      </c>
      <c r="V8" s="12">
        <v>2714</v>
      </c>
      <c r="W8" s="326">
        <v>21823</v>
      </c>
      <c r="X8" s="14">
        <v>6917</v>
      </c>
      <c r="Y8" s="644">
        <v>48263</v>
      </c>
      <c r="Z8" s="38">
        <v>16</v>
      </c>
      <c r="AA8" s="642">
        <v>54</v>
      </c>
      <c r="AB8" s="12">
        <v>42</v>
      </c>
      <c r="AC8" s="470">
        <v>139</v>
      </c>
      <c r="AD8" s="12">
        <v>35</v>
      </c>
      <c r="AE8" s="255"/>
      <c r="AF8" s="12">
        <v>200</v>
      </c>
      <c r="AG8" s="470">
        <v>7950</v>
      </c>
      <c r="AH8" s="12">
        <v>37</v>
      </c>
      <c r="AI8" s="470">
        <v>1823</v>
      </c>
      <c r="AJ8" s="12">
        <v>920</v>
      </c>
      <c r="AK8" s="255">
        <v>1867</v>
      </c>
      <c r="AL8" s="201"/>
      <c r="AM8" s="470"/>
      <c r="AN8" s="202">
        <v>4637</v>
      </c>
      <c r="AO8" s="630">
        <v>23902</v>
      </c>
      <c r="AP8" s="12">
        <v>663</v>
      </c>
      <c r="AQ8" s="255">
        <v>2868</v>
      </c>
      <c r="AR8" s="158">
        <v>283</v>
      </c>
      <c r="AS8" s="470">
        <v>403</v>
      </c>
      <c r="AT8" s="12">
        <v>33</v>
      </c>
      <c r="AU8" s="255">
        <v>398</v>
      </c>
      <c r="AV8" s="8">
        <f t="shared" si="0"/>
        <v>38923</v>
      </c>
      <c r="AW8" s="8">
        <f t="shared" si="1"/>
        <v>132124</v>
      </c>
      <c r="AX8" s="158">
        <v>6112</v>
      </c>
      <c r="AY8" s="16">
        <v>179.58</v>
      </c>
      <c r="AZ8" s="8">
        <f t="shared" si="2"/>
        <v>45035</v>
      </c>
      <c r="BA8" s="622">
        <f t="shared" si="3"/>
        <v>132303.57999999999</v>
      </c>
    </row>
    <row r="9" spans="1:53" ht="42.75" x14ac:dyDescent="0.3">
      <c r="A9" s="542" t="s">
        <v>113</v>
      </c>
      <c r="B9" s="37"/>
      <c r="C9" s="650">
        <v>-74</v>
      </c>
      <c r="D9" s="12"/>
      <c r="E9" s="255"/>
      <c r="F9" s="12">
        <v>-11</v>
      </c>
      <c r="G9" s="255">
        <v>-56</v>
      </c>
      <c r="H9" s="12">
        <v>-2247</v>
      </c>
      <c r="I9" s="470">
        <v>-4101</v>
      </c>
      <c r="J9" s="12">
        <v>-96</v>
      </c>
      <c r="K9" s="326">
        <v>-163</v>
      </c>
      <c r="L9" s="14"/>
      <c r="M9" s="255"/>
      <c r="N9" s="12">
        <v>-62</v>
      </c>
      <c r="O9" s="326">
        <v>-73</v>
      </c>
      <c r="P9" s="12">
        <v>-215</v>
      </c>
      <c r="Q9" s="326">
        <v>-879</v>
      </c>
      <c r="R9" s="12"/>
      <c r="S9" s="15"/>
      <c r="T9" s="14">
        <v>-20</v>
      </c>
      <c r="U9" s="255"/>
      <c r="V9" s="12">
        <v>-4132</v>
      </c>
      <c r="W9" s="326">
        <v>-460</v>
      </c>
      <c r="X9" s="14">
        <v>-595</v>
      </c>
      <c r="Y9" s="644">
        <v>-473</v>
      </c>
      <c r="Z9" s="38"/>
      <c r="AA9" s="642"/>
      <c r="AB9" s="12"/>
      <c r="AC9" s="470">
        <v>-45.76</v>
      </c>
      <c r="AD9" s="12"/>
      <c r="AE9" s="255">
        <v>-160</v>
      </c>
      <c r="AF9" s="12">
        <v>-463</v>
      </c>
      <c r="AG9" s="470">
        <v>-225</v>
      </c>
      <c r="AH9" s="12"/>
      <c r="AI9" s="470"/>
      <c r="AJ9" s="12">
        <v>-84</v>
      </c>
      <c r="AK9" s="255">
        <v>-194</v>
      </c>
      <c r="AL9" s="201"/>
      <c r="AM9" s="470"/>
      <c r="AN9" s="202">
        <v>-283</v>
      </c>
      <c r="AO9" s="630">
        <v>-14</v>
      </c>
      <c r="AP9" s="12">
        <v>-78.040000000000006</v>
      </c>
      <c r="AQ9" s="255">
        <v>-215</v>
      </c>
      <c r="AR9" s="158">
        <v>-4</v>
      </c>
      <c r="AS9" s="470"/>
      <c r="AT9" s="12">
        <v>-98</v>
      </c>
      <c r="AU9" s="255">
        <v>-80</v>
      </c>
      <c r="AV9" s="8">
        <f t="shared" si="0"/>
        <v>-8388.0400000000009</v>
      </c>
      <c r="AW9" s="8">
        <f t="shared" si="1"/>
        <v>-7212.76</v>
      </c>
      <c r="AX9" s="158">
        <v>-127</v>
      </c>
      <c r="AY9" s="16">
        <v>-26.09</v>
      </c>
      <c r="AZ9" s="8">
        <f t="shared" si="2"/>
        <v>-8515.0400000000009</v>
      </c>
      <c r="BA9" s="622">
        <f t="shared" si="3"/>
        <v>-7238.85</v>
      </c>
    </row>
    <row r="10" spans="1:53" ht="42.75" x14ac:dyDescent="0.3">
      <c r="A10" s="542" t="s">
        <v>114</v>
      </c>
      <c r="B10" s="8">
        <v>839</v>
      </c>
      <c r="C10" s="650">
        <v>451</v>
      </c>
      <c r="D10" s="19">
        <v>229</v>
      </c>
      <c r="E10" s="255">
        <v>68</v>
      </c>
      <c r="F10" s="19"/>
      <c r="G10" s="255"/>
      <c r="H10" s="19">
        <v>987</v>
      </c>
      <c r="I10" s="470">
        <v>-1449</v>
      </c>
      <c r="J10" s="19">
        <v>84</v>
      </c>
      <c r="K10" s="326"/>
      <c r="L10" s="21">
        <v>341</v>
      </c>
      <c r="M10" s="255">
        <v>179</v>
      </c>
      <c r="N10" s="19">
        <v>-148</v>
      </c>
      <c r="O10" s="326">
        <v>-168</v>
      </c>
      <c r="P10" s="19"/>
      <c r="Q10" s="326"/>
      <c r="R10" s="19"/>
      <c r="S10" s="15">
        <v>-269</v>
      </c>
      <c r="T10" s="21">
        <v>85</v>
      </c>
      <c r="U10" s="255">
        <v>23</v>
      </c>
      <c r="V10" s="19"/>
      <c r="W10" s="326"/>
      <c r="X10" s="21">
        <v>-694</v>
      </c>
      <c r="Y10" s="644">
        <v>-575</v>
      </c>
      <c r="Z10" s="38">
        <v>275</v>
      </c>
      <c r="AA10" s="642">
        <v>131</v>
      </c>
      <c r="AB10" s="19">
        <v>381</v>
      </c>
      <c r="AC10" s="470">
        <v>-31.36</v>
      </c>
      <c r="AD10" s="640">
        <v>515</v>
      </c>
      <c r="AE10" s="255">
        <v>-120</v>
      </c>
      <c r="AF10" s="19">
        <v>124</v>
      </c>
      <c r="AG10" s="470">
        <v>99</v>
      </c>
      <c r="AH10" s="19">
        <v>241</v>
      </c>
      <c r="AI10" s="470">
        <v>-46</v>
      </c>
      <c r="AJ10" s="19">
        <v>13</v>
      </c>
      <c r="AK10" s="255">
        <v>-149</v>
      </c>
      <c r="AL10" s="201"/>
      <c r="AM10" s="470"/>
      <c r="AN10" s="202">
        <v>679</v>
      </c>
      <c r="AO10" s="630">
        <v>809</v>
      </c>
      <c r="AP10" s="12">
        <v>138</v>
      </c>
      <c r="AQ10" s="255">
        <v>-17</v>
      </c>
      <c r="AR10" s="158">
        <v>-2</v>
      </c>
      <c r="AS10" s="470">
        <v>-36</v>
      </c>
      <c r="AT10" s="19">
        <v>968</v>
      </c>
      <c r="AU10" s="255">
        <v>878</v>
      </c>
      <c r="AV10" s="8">
        <f t="shared" si="0"/>
        <v>5055</v>
      </c>
      <c r="AW10" s="8">
        <f t="shared" si="1"/>
        <v>-222.3599999999999</v>
      </c>
      <c r="AX10" s="19"/>
      <c r="AY10" s="16"/>
      <c r="AZ10" s="8">
        <f t="shared" si="2"/>
        <v>5055</v>
      </c>
      <c r="BA10" s="622">
        <f t="shared" si="3"/>
        <v>-222.3599999999999</v>
      </c>
    </row>
    <row r="11" spans="1:53" ht="42.75" x14ac:dyDescent="0.3">
      <c r="A11" s="542" t="s">
        <v>251</v>
      </c>
      <c r="B11" s="8"/>
      <c r="C11" s="650"/>
      <c r="D11" s="19"/>
      <c r="E11" s="255"/>
      <c r="F11" s="19"/>
      <c r="G11" s="255"/>
      <c r="H11" s="19"/>
      <c r="I11" s="470"/>
      <c r="J11" s="19"/>
      <c r="K11" s="326"/>
      <c r="L11" s="21"/>
      <c r="M11" s="255"/>
      <c r="N11" s="19"/>
      <c r="O11" s="326"/>
      <c r="P11" s="19"/>
      <c r="Q11" s="326"/>
      <c r="R11" s="19"/>
      <c r="S11" s="15"/>
      <c r="T11" s="21"/>
      <c r="U11" s="255"/>
      <c r="V11" s="19"/>
      <c r="W11" s="326"/>
      <c r="X11" s="21">
        <v>624</v>
      </c>
      <c r="Y11" s="644">
        <v>607</v>
      </c>
      <c r="Z11" s="38"/>
      <c r="AA11" s="642"/>
      <c r="AB11" s="19"/>
      <c r="AC11" s="470"/>
      <c r="AD11" s="640"/>
      <c r="AE11" s="255"/>
      <c r="AF11" s="19"/>
      <c r="AG11" s="470"/>
      <c r="AH11" s="19"/>
      <c r="AI11" s="470"/>
      <c r="AJ11" s="19"/>
      <c r="AK11" s="255"/>
      <c r="AL11" s="201"/>
      <c r="AM11" s="470"/>
      <c r="AN11" s="202"/>
      <c r="AO11" s="630"/>
      <c r="AP11" s="12"/>
      <c r="AQ11" s="255"/>
      <c r="AR11" s="158"/>
      <c r="AS11" s="470"/>
      <c r="AT11" s="19"/>
      <c r="AU11" s="255"/>
      <c r="AV11" s="8"/>
      <c r="AW11" s="8"/>
      <c r="AX11" s="19"/>
      <c r="AY11" s="16"/>
      <c r="AZ11" s="8"/>
      <c r="BA11" s="622"/>
    </row>
    <row r="12" spans="1:53" x14ac:dyDescent="0.3">
      <c r="A12" s="542" t="s">
        <v>115</v>
      </c>
      <c r="B12" s="37"/>
      <c r="C12" s="650"/>
      <c r="D12" s="12"/>
      <c r="E12" s="255"/>
      <c r="F12" s="12"/>
      <c r="G12" s="255"/>
      <c r="H12" s="12">
        <v>295</v>
      </c>
      <c r="I12" s="470"/>
      <c r="J12" s="12"/>
      <c r="K12" s="326"/>
      <c r="L12" s="14"/>
      <c r="M12" s="255"/>
      <c r="N12" s="12"/>
      <c r="O12" s="326"/>
      <c r="P12" s="12"/>
      <c r="Q12" s="326"/>
      <c r="R12" s="12"/>
      <c r="S12" s="15"/>
      <c r="T12" s="14"/>
      <c r="U12" s="255"/>
      <c r="V12" s="12"/>
      <c r="W12" s="326"/>
      <c r="X12" s="14"/>
      <c r="Y12" s="644"/>
      <c r="Z12" s="12">
        <v>31</v>
      </c>
      <c r="AA12" s="642">
        <v>125</v>
      </c>
      <c r="AB12" s="12">
        <v>414</v>
      </c>
      <c r="AC12" s="470">
        <v>346.09</v>
      </c>
      <c r="AD12" s="12"/>
      <c r="AE12" s="255"/>
      <c r="AF12" s="12">
        <v>1035</v>
      </c>
      <c r="AG12" s="470">
        <v>171</v>
      </c>
      <c r="AH12" s="12"/>
      <c r="AI12" s="470"/>
      <c r="AJ12" s="12"/>
      <c r="AK12" s="255"/>
      <c r="AL12" s="201"/>
      <c r="AM12" s="470"/>
      <c r="AN12" s="202">
        <v>42</v>
      </c>
      <c r="AO12" s="630">
        <v>454</v>
      </c>
      <c r="AP12" s="12">
        <v>106</v>
      </c>
      <c r="AQ12" s="255"/>
      <c r="AR12" s="158"/>
      <c r="AS12" s="470"/>
      <c r="AT12" s="12"/>
      <c r="AU12" s="255"/>
      <c r="AV12" s="8">
        <f t="shared" si="0"/>
        <v>1923</v>
      </c>
      <c r="AW12" s="8">
        <f t="shared" si="1"/>
        <v>1096.0899999999999</v>
      </c>
      <c r="AX12" s="158">
        <v>293.42</v>
      </c>
      <c r="AY12" s="16"/>
      <c r="AZ12" s="8">
        <f t="shared" si="2"/>
        <v>2216.42</v>
      </c>
      <c r="BA12" s="622">
        <f t="shared" si="3"/>
        <v>1096.0899999999999</v>
      </c>
    </row>
    <row r="13" spans="1:53" s="575" customFormat="1" x14ac:dyDescent="0.3">
      <c r="A13" s="572" t="s">
        <v>249</v>
      </c>
      <c r="B13" s="576">
        <f t="shared" ref="B13:Y13" si="4">SUM(B5:B12)</f>
        <v>22739</v>
      </c>
      <c r="C13" s="576">
        <f t="shared" si="4"/>
        <v>24238</v>
      </c>
      <c r="D13" s="576">
        <f t="shared" si="4"/>
        <v>288</v>
      </c>
      <c r="E13" s="576">
        <f t="shared" si="4"/>
        <v>209</v>
      </c>
      <c r="F13" s="576">
        <f t="shared" si="4"/>
        <v>927</v>
      </c>
      <c r="G13" s="576">
        <f t="shared" si="4"/>
        <v>2294</v>
      </c>
      <c r="H13" s="576">
        <f t="shared" si="4"/>
        <v>81826</v>
      </c>
      <c r="I13" s="680">
        <f t="shared" si="4"/>
        <v>50796</v>
      </c>
      <c r="J13" s="576">
        <f t="shared" si="4"/>
        <v>-14083</v>
      </c>
      <c r="K13" s="685">
        <f t="shared" si="4"/>
        <v>-17232</v>
      </c>
      <c r="L13" s="682">
        <f t="shared" si="4"/>
        <v>4410</v>
      </c>
      <c r="M13" s="680">
        <f t="shared" si="4"/>
        <v>4252</v>
      </c>
      <c r="N13" s="576">
        <f t="shared" si="4"/>
        <v>8632</v>
      </c>
      <c r="O13" s="685">
        <f t="shared" si="4"/>
        <v>4472</v>
      </c>
      <c r="P13" s="576">
        <f t="shared" si="4"/>
        <v>2347</v>
      </c>
      <c r="Q13" s="685">
        <f t="shared" si="4"/>
        <v>863</v>
      </c>
      <c r="R13" s="576">
        <f t="shared" si="4"/>
        <v>0</v>
      </c>
      <c r="S13" s="685">
        <f t="shared" si="4"/>
        <v>4382</v>
      </c>
      <c r="T13" s="682">
        <f t="shared" si="4"/>
        <v>744</v>
      </c>
      <c r="U13" s="680">
        <f t="shared" si="4"/>
        <v>772</v>
      </c>
      <c r="V13" s="576">
        <f t="shared" si="4"/>
        <v>72147</v>
      </c>
      <c r="W13" s="685">
        <f t="shared" si="4"/>
        <v>78958</v>
      </c>
      <c r="X13" s="682">
        <f t="shared" si="4"/>
        <v>116835</v>
      </c>
      <c r="Y13" s="682">
        <f t="shared" si="4"/>
        <v>146360</v>
      </c>
      <c r="Z13" s="576">
        <f t="shared" ref="Z13:AN13" si="5">SUM(Z5:Z12)</f>
        <v>2798</v>
      </c>
      <c r="AA13" s="576">
        <f t="shared" si="5"/>
        <v>2721</v>
      </c>
      <c r="AB13" s="576">
        <f t="shared" si="5"/>
        <v>6567</v>
      </c>
      <c r="AC13" s="576">
        <f t="shared" si="5"/>
        <v>9026.15</v>
      </c>
      <c r="AD13" s="576">
        <f t="shared" si="5"/>
        <v>56920</v>
      </c>
      <c r="AE13" s="576">
        <f t="shared" si="5"/>
        <v>13359</v>
      </c>
      <c r="AF13" s="576">
        <f t="shared" si="5"/>
        <v>31441</v>
      </c>
      <c r="AG13" s="576">
        <f t="shared" si="5"/>
        <v>33421</v>
      </c>
      <c r="AH13" s="576">
        <f t="shared" si="5"/>
        <v>10475</v>
      </c>
      <c r="AI13" s="634">
        <f t="shared" si="5"/>
        <v>9707</v>
      </c>
      <c r="AJ13" s="576">
        <f t="shared" si="5"/>
        <v>5185</v>
      </c>
      <c r="AK13" s="576">
        <f t="shared" si="5"/>
        <v>6071</v>
      </c>
      <c r="AL13" s="576">
        <f t="shared" si="5"/>
        <v>0</v>
      </c>
      <c r="AM13" s="634">
        <f t="shared" si="5"/>
        <v>0</v>
      </c>
      <c r="AN13" s="576">
        <f t="shared" si="5"/>
        <v>66996</v>
      </c>
      <c r="AO13" s="627">
        <v>61990</v>
      </c>
      <c r="AP13" s="576">
        <f>SUM(AP5:AP12)</f>
        <v>2871.96</v>
      </c>
      <c r="AQ13" s="623">
        <v>4604</v>
      </c>
      <c r="AR13" s="576">
        <f>SUM(AR5:AR12)</f>
        <v>9096</v>
      </c>
      <c r="AS13" s="576">
        <f>SUM(AS5:AS12)</f>
        <v>13136</v>
      </c>
      <c r="AT13" s="576">
        <f>SUM(AT5:AT12)</f>
        <v>61696</v>
      </c>
      <c r="AU13" s="576">
        <f>SUM(AU5:AU12)</f>
        <v>11021</v>
      </c>
      <c r="AV13" s="573">
        <f t="shared" si="0"/>
        <v>550857.96</v>
      </c>
      <c r="AW13" s="573">
        <f t="shared" si="1"/>
        <v>465420.15</v>
      </c>
      <c r="AX13" s="576">
        <f>SUM(AX5:AX12)</f>
        <v>1691256.42</v>
      </c>
      <c r="AY13" s="576">
        <f>SUM(AY5:AY12)</f>
        <v>145236.71</v>
      </c>
      <c r="AZ13" s="573">
        <f t="shared" si="2"/>
        <v>2242114.38</v>
      </c>
      <c r="BA13" s="574"/>
    </row>
    <row r="14" spans="1:53" ht="42.75" x14ac:dyDescent="0.3">
      <c r="A14" s="542" t="s">
        <v>116</v>
      </c>
      <c r="B14" s="37">
        <f>2001+1870</f>
        <v>3871</v>
      </c>
      <c r="C14" s="650">
        <f>1762+816</f>
        <v>2578</v>
      </c>
      <c r="D14" s="12">
        <f>343+161+333</f>
        <v>837</v>
      </c>
      <c r="E14" s="255">
        <f>229+28+333</f>
        <v>590</v>
      </c>
      <c r="F14" s="12">
        <v>144</v>
      </c>
      <c r="G14" s="255">
        <v>170</v>
      </c>
      <c r="H14" s="12">
        <f>1337+904</f>
        <v>2241</v>
      </c>
      <c r="I14" s="470">
        <f>1160+625</f>
        <v>1785</v>
      </c>
      <c r="J14" s="12">
        <v>132</v>
      </c>
      <c r="K14" s="326">
        <f>131+109</f>
        <v>240</v>
      </c>
      <c r="L14" s="14">
        <f>415</f>
        <v>415</v>
      </c>
      <c r="M14" s="255">
        <f>159+147</f>
        <v>306</v>
      </c>
      <c r="N14" s="12">
        <v>1137</v>
      </c>
      <c r="O14" s="326">
        <v>766</v>
      </c>
      <c r="P14" s="12">
        <v>22</v>
      </c>
      <c r="Q14" s="326">
        <v>49</v>
      </c>
      <c r="R14" s="12"/>
      <c r="S14" s="15">
        <v>899</v>
      </c>
      <c r="T14" s="14">
        <f>77+344</f>
        <v>421</v>
      </c>
      <c r="U14" s="255">
        <f>281+86</f>
        <v>367</v>
      </c>
      <c r="V14" s="12">
        <f>943+2793+302</f>
        <v>4038</v>
      </c>
      <c r="W14" s="326">
        <f>724+2006+382</f>
        <v>3112</v>
      </c>
      <c r="X14" s="14">
        <f>858+4121+95</f>
        <v>5074</v>
      </c>
      <c r="Y14" s="644">
        <f>651+4121+202</f>
        <v>4974</v>
      </c>
      <c r="Z14" s="12">
        <v>192</v>
      </c>
      <c r="AA14" s="642">
        <v>193</v>
      </c>
      <c r="AB14" s="12">
        <v>412</v>
      </c>
      <c r="AC14" s="470">
        <v>430</v>
      </c>
      <c r="AD14" s="12">
        <v>123</v>
      </c>
      <c r="AE14" s="255">
        <v>114</v>
      </c>
      <c r="AF14" s="12">
        <v>1419</v>
      </c>
      <c r="AG14" s="470">
        <v>2880</v>
      </c>
      <c r="AH14" s="12">
        <v>1128</v>
      </c>
      <c r="AI14" s="255">
        <v>271</v>
      </c>
      <c r="AJ14" s="12">
        <v>2114</v>
      </c>
      <c r="AK14" s="255">
        <v>2141</v>
      </c>
      <c r="AL14" s="201"/>
      <c r="AM14" s="255"/>
      <c r="AN14" s="201"/>
      <c r="AO14" s="630"/>
      <c r="AP14" s="12">
        <v>59.92</v>
      </c>
      <c r="AQ14" s="255">
        <v>115</v>
      </c>
      <c r="AR14" s="158">
        <v>500</v>
      </c>
      <c r="AS14" s="470">
        <v>320</v>
      </c>
      <c r="AT14" s="12">
        <v>2212</v>
      </c>
      <c r="AU14" s="255">
        <v>627</v>
      </c>
      <c r="AV14" s="8">
        <f t="shared" si="0"/>
        <v>26491.919999999998</v>
      </c>
      <c r="AW14" s="8">
        <f t="shared" si="1"/>
        <v>22927</v>
      </c>
      <c r="AX14" s="158">
        <v>19.420000000000002</v>
      </c>
      <c r="AY14" s="16">
        <v>24.82</v>
      </c>
      <c r="AZ14" s="8">
        <f t="shared" si="2"/>
        <v>26511.339999999997</v>
      </c>
      <c r="BA14" s="622"/>
    </row>
    <row r="15" spans="1:53" x14ac:dyDescent="0.3">
      <c r="A15" s="542" t="s">
        <v>117</v>
      </c>
      <c r="B15" s="37"/>
      <c r="C15" s="650"/>
      <c r="D15" s="12"/>
      <c r="E15" s="255"/>
      <c r="F15" s="12"/>
      <c r="G15" s="255"/>
      <c r="H15" s="12"/>
      <c r="I15" s="470"/>
      <c r="J15" s="12"/>
      <c r="K15" s="326"/>
      <c r="L15" s="14"/>
      <c r="M15" s="255"/>
      <c r="N15" s="12"/>
      <c r="O15" s="326"/>
      <c r="P15" s="12"/>
      <c r="Q15" s="326"/>
      <c r="R15" s="12"/>
      <c r="S15" s="15"/>
      <c r="T15" s="14"/>
      <c r="U15" s="255"/>
      <c r="V15" s="12"/>
      <c r="W15" s="326"/>
      <c r="X15" s="14"/>
      <c r="Y15" s="644"/>
      <c r="Z15" s="12"/>
      <c r="AA15" s="642"/>
      <c r="AB15" s="12"/>
      <c r="AC15" s="470"/>
      <c r="AD15" s="12"/>
      <c r="AE15" s="255"/>
      <c r="AF15" s="12"/>
      <c r="AG15" s="470"/>
      <c r="AH15" s="12"/>
      <c r="AI15" s="255"/>
      <c r="AJ15" s="12"/>
      <c r="AK15" s="255"/>
      <c r="AL15" s="201"/>
      <c r="AM15" s="255"/>
      <c r="AN15" s="203"/>
      <c r="AO15" s="630"/>
      <c r="AP15" s="12"/>
      <c r="AQ15" s="255"/>
      <c r="AR15" s="158"/>
      <c r="AS15" s="470"/>
      <c r="AT15" s="12"/>
      <c r="AU15" s="255"/>
      <c r="AV15" s="8">
        <f t="shared" si="0"/>
        <v>0</v>
      </c>
      <c r="AW15" s="8">
        <f t="shared" si="1"/>
        <v>0</v>
      </c>
      <c r="AX15" s="158"/>
      <c r="AY15" s="16"/>
      <c r="AZ15" s="8">
        <f t="shared" si="2"/>
        <v>0</v>
      </c>
      <c r="BA15" s="622">
        <f t="shared" si="3"/>
        <v>0</v>
      </c>
    </row>
    <row r="16" spans="1:53" ht="28.5" x14ac:dyDescent="0.3">
      <c r="A16" s="542" t="s">
        <v>118</v>
      </c>
      <c r="B16" s="8"/>
      <c r="C16" s="650"/>
      <c r="D16" s="19"/>
      <c r="E16" s="255"/>
      <c r="F16" s="19"/>
      <c r="G16" s="255"/>
      <c r="H16" s="19"/>
      <c r="I16" s="470"/>
      <c r="J16" s="19"/>
      <c r="K16" s="326"/>
      <c r="L16" s="21"/>
      <c r="M16" s="255"/>
      <c r="N16" s="19"/>
      <c r="O16" s="326"/>
      <c r="P16" s="19"/>
      <c r="Q16" s="326"/>
      <c r="R16" s="19"/>
      <c r="S16" s="15"/>
      <c r="T16" s="21"/>
      <c r="U16" s="255"/>
      <c r="V16" s="19"/>
      <c r="W16" s="326"/>
      <c r="X16" s="21"/>
      <c r="Y16" s="644"/>
      <c r="Z16" s="38"/>
      <c r="AA16" s="642"/>
      <c r="AB16" s="19"/>
      <c r="AC16" s="470"/>
      <c r="AD16" s="640"/>
      <c r="AE16" s="255"/>
      <c r="AF16" s="19"/>
      <c r="AG16" s="470"/>
      <c r="AH16" s="19"/>
      <c r="AI16" s="549"/>
      <c r="AJ16" s="19"/>
      <c r="AK16" s="255"/>
      <c r="AL16" s="201"/>
      <c r="AM16" s="255"/>
      <c r="AN16" s="202">
        <v>68</v>
      </c>
      <c r="AO16" s="630">
        <v>62</v>
      </c>
      <c r="AP16" s="12"/>
      <c r="AQ16" s="255"/>
      <c r="AR16" s="158"/>
      <c r="AS16" s="470"/>
      <c r="AT16" s="19"/>
      <c r="AU16" s="255"/>
      <c r="AV16" s="8">
        <f t="shared" si="0"/>
        <v>68</v>
      </c>
      <c r="AW16" s="8">
        <f t="shared" si="1"/>
        <v>62</v>
      </c>
      <c r="AX16" s="19"/>
      <c r="AY16" s="16"/>
      <c r="AZ16" s="8">
        <f t="shared" si="2"/>
        <v>68</v>
      </c>
      <c r="BA16" s="622">
        <f t="shared" si="3"/>
        <v>62</v>
      </c>
    </row>
    <row r="17" spans="1:53" ht="28.5" x14ac:dyDescent="0.3">
      <c r="A17" s="542" t="s">
        <v>119</v>
      </c>
      <c r="B17" s="37"/>
      <c r="C17" s="650"/>
      <c r="D17" s="12"/>
      <c r="E17" s="255"/>
      <c r="F17" s="12"/>
      <c r="G17" s="255"/>
      <c r="H17" s="12"/>
      <c r="I17" s="470"/>
      <c r="J17" s="12"/>
      <c r="K17" s="326"/>
      <c r="L17" s="14"/>
      <c r="M17" s="255"/>
      <c r="N17" s="12"/>
      <c r="O17" s="326"/>
      <c r="P17" s="12"/>
      <c r="Q17" s="326"/>
      <c r="R17" s="12"/>
      <c r="S17" s="15"/>
      <c r="T17" s="14"/>
      <c r="U17" s="255"/>
      <c r="V17" s="12"/>
      <c r="W17" s="326"/>
      <c r="X17" s="14"/>
      <c r="Y17" s="644"/>
      <c r="Z17" s="38"/>
      <c r="AA17" s="642"/>
      <c r="AB17" s="12"/>
      <c r="AC17" s="470"/>
      <c r="AD17" s="12"/>
      <c r="AE17" s="255"/>
      <c r="AF17" s="12"/>
      <c r="AG17" s="470"/>
      <c r="AH17" s="12"/>
      <c r="AI17" s="255"/>
      <c r="AJ17" s="12"/>
      <c r="AK17" s="255"/>
      <c r="AL17" s="201"/>
      <c r="AM17" s="255"/>
      <c r="AN17" s="202"/>
      <c r="AO17" s="630"/>
      <c r="AP17" s="12"/>
      <c r="AQ17" s="255"/>
      <c r="AR17" s="158"/>
      <c r="AS17" s="470"/>
      <c r="AT17" s="12"/>
      <c r="AU17" s="255"/>
      <c r="AV17" s="8">
        <f t="shared" si="0"/>
        <v>0</v>
      </c>
      <c r="AW17" s="8">
        <f t="shared" si="1"/>
        <v>0</v>
      </c>
      <c r="AX17" s="12"/>
      <c r="AY17" s="16"/>
      <c r="AZ17" s="8">
        <f t="shared" si="2"/>
        <v>0</v>
      </c>
      <c r="BA17" s="622">
        <f t="shared" si="3"/>
        <v>0</v>
      </c>
    </row>
    <row r="18" spans="1:53" x14ac:dyDescent="0.3">
      <c r="A18" s="542" t="s">
        <v>120</v>
      </c>
      <c r="B18" s="37">
        <v>252</v>
      </c>
      <c r="C18" s="650">
        <v>258</v>
      </c>
      <c r="D18" s="12"/>
      <c r="E18" s="255"/>
      <c r="F18" s="12"/>
      <c r="G18" s="255"/>
      <c r="H18" s="12"/>
      <c r="I18" s="470"/>
      <c r="J18" s="12"/>
      <c r="K18" s="326"/>
      <c r="L18" s="14"/>
      <c r="M18" s="255"/>
      <c r="N18" s="12"/>
      <c r="O18" s="326"/>
      <c r="P18" s="12"/>
      <c r="Q18" s="326"/>
      <c r="R18" s="12"/>
      <c r="S18" s="15"/>
      <c r="T18" s="14"/>
      <c r="U18" s="255"/>
      <c r="V18" s="12"/>
      <c r="W18" s="326"/>
      <c r="X18" s="14"/>
      <c r="Y18" s="644"/>
      <c r="Z18" s="38"/>
      <c r="AA18" s="642"/>
      <c r="AB18" s="12"/>
      <c r="AC18" s="470"/>
      <c r="AD18" s="12"/>
      <c r="AE18" s="255"/>
      <c r="AF18" s="12"/>
      <c r="AG18" s="470"/>
      <c r="AH18" s="12"/>
      <c r="AI18" s="255"/>
      <c r="AJ18" s="12"/>
      <c r="AK18" s="255"/>
      <c r="AL18" s="201"/>
      <c r="AM18" s="255"/>
      <c r="AN18" s="202"/>
      <c r="AO18" s="630">
        <v>10</v>
      </c>
      <c r="AP18" s="12"/>
      <c r="AQ18" s="255"/>
      <c r="AR18" s="158"/>
      <c r="AS18" s="470"/>
      <c r="AT18" s="12"/>
      <c r="AU18" s="255"/>
      <c r="AV18" s="8">
        <f t="shared" si="0"/>
        <v>252</v>
      </c>
      <c r="AW18" s="8">
        <f t="shared" si="1"/>
        <v>268</v>
      </c>
      <c r="AX18" s="12"/>
      <c r="AY18" s="16"/>
      <c r="AZ18" s="8">
        <f t="shared" si="2"/>
        <v>252</v>
      </c>
      <c r="BA18" s="622">
        <f t="shared" si="3"/>
        <v>268</v>
      </c>
    </row>
    <row r="19" spans="1:53" x14ac:dyDescent="0.3">
      <c r="A19" s="542" t="s">
        <v>121</v>
      </c>
      <c r="B19" s="37"/>
      <c r="C19" s="650"/>
      <c r="D19" s="12"/>
      <c r="E19" s="255"/>
      <c r="F19" s="12">
        <v>459</v>
      </c>
      <c r="G19" s="255">
        <v>166</v>
      </c>
      <c r="H19" s="12"/>
      <c r="I19" s="470"/>
      <c r="J19" s="12">
        <v>261</v>
      </c>
      <c r="K19" s="326">
        <v>270</v>
      </c>
      <c r="L19" s="14"/>
      <c r="M19" s="255"/>
      <c r="N19" s="12"/>
      <c r="O19" s="326"/>
      <c r="P19" s="12"/>
      <c r="Q19" s="326"/>
      <c r="R19" s="12"/>
      <c r="S19" s="15"/>
      <c r="T19" s="14"/>
      <c r="U19" s="255"/>
      <c r="V19" s="12">
        <v>1024</v>
      </c>
      <c r="W19" s="326">
        <v>19504</v>
      </c>
      <c r="X19" s="14">
        <v>275</v>
      </c>
      <c r="Y19" s="644">
        <v>321</v>
      </c>
      <c r="Z19" s="38"/>
      <c r="AA19" s="642"/>
      <c r="AB19" s="12">
        <f>956+14878</f>
        <v>15834</v>
      </c>
      <c r="AC19" s="470">
        <f>32142.13+429.67</f>
        <v>32571.8</v>
      </c>
      <c r="AD19" s="12">
        <v>164</v>
      </c>
      <c r="AE19" s="255">
        <v>150</v>
      </c>
      <c r="AF19" s="12">
        <v>1875</v>
      </c>
      <c r="AG19" s="470">
        <v>612</v>
      </c>
      <c r="AH19" s="12"/>
      <c r="AI19" s="255"/>
      <c r="AJ19" s="12">
        <v>48</v>
      </c>
      <c r="AK19" s="255">
        <v>765</v>
      </c>
      <c r="AL19" s="201"/>
      <c r="AM19" s="255"/>
      <c r="AN19" s="202">
        <v>513</v>
      </c>
      <c r="AO19" s="630">
        <v>12151</v>
      </c>
      <c r="AP19" s="12"/>
      <c r="AQ19" s="255"/>
      <c r="AR19" s="158">
        <v>486</v>
      </c>
      <c r="AS19" s="470"/>
      <c r="AT19" s="12"/>
      <c r="AU19" s="255"/>
      <c r="AV19" s="8">
        <f t="shared" si="0"/>
        <v>20939</v>
      </c>
      <c r="AW19" s="8">
        <f t="shared" si="1"/>
        <v>66510.8</v>
      </c>
      <c r="AX19" s="12"/>
      <c r="AY19" s="16"/>
      <c r="AZ19" s="8">
        <f t="shared" si="2"/>
        <v>20939</v>
      </c>
      <c r="BA19" s="622">
        <f t="shared" si="3"/>
        <v>66510.8</v>
      </c>
    </row>
    <row r="20" spans="1:53" ht="28.5" x14ac:dyDescent="0.3">
      <c r="A20" s="542" t="s">
        <v>122</v>
      </c>
      <c r="B20" s="37">
        <v>125</v>
      </c>
      <c r="C20" s="650">
        <v>63</v>
      </c>
      <c r="D20" s="12"/>
      <c r="E20" s="255"/>
      <c r="F20" s="12"/>
      <c r="G20" s="255"/>
      <c r="H20" s="12">
        <v>471</v>
      </c>
      <c r="I20" s="470">
        <v>613</v>
      </c>
      <c r="J20" s="12"/>
      <c r="K20" s="326"/>
      <c r="L20" s="14">
        <v>110</v>
      </c>
      <c r="M20" s="255">
        <v>114</v>
      </c>
      <c r="N20" s="12"/>
      <c r="O20" s="326"/>
      <c r="P20" s="12"/>
      <c r="Q20" s="326"/>
      <c r="R20" s="12"/>
      <c r="S20" s="15"/>
      <c r="T20" s="14"/>
      <c r="U20" s="255"/>
      <c r="V20" s="12">
        <v>1107</v>
      </c>
      <c r="W20" s="326">
        <v>686</v>
      </c>
      <c r="X20" s="14"/>
      <c r="Y20" s="644"/>
      <c r="Z20" s="38">
        <v>274</v>
      </c>
      <c r="AA20" s="642">
        <v>230</v>
      </c>
      <c r="AB20" s="12"/>
      <c r="AC20" s="470"/>
      <c r="AD20" s="12">
        <v>552</v>
      </c>
      <c r="AE20" s="255">
        <v>600</v>
      </c>
      <c r="AF20" s="12">
        <v>500</v>
      </c>
      <c r="AG20" s="470">
        <v>420</v>
      </c>
      <c r="AH20" s="12">
        <v>129</v>
      </c>
      <c r="AI20" s="255">
        <v>29</v>
      </c>
      <c r="AJ20" s="12"/>
      <c r="AK20" s="255"/>
      <c r="AL20" s="201"/>
      <c r="AM20" s="255"/>
      <c r="AN20" s="202">
        <v>1111</v>
      </c>
      <c r="AO20" s="630">
        <v>1236</v>
      </c>
      <c r="AP20" s="12">
        <v>72</v>
      </c>
      <c r="AQ20" s="255">
        <v>114</v>
      </c>
      <c r="AR20" s="158">
        <v>75</v>
      </c>
      <c r="AS20" s="470">
        <v>84</v>
      </c>
      <c r="AT20" s="12">
        <v>61</v>
      </c>
      <c r="AU20" s="255">
        <v>104</v>
      </c>
      <c r="AV20" s="8">
        <f t="shared" si="0"/>
        <v>4587</v>
      </c>
      <c r="AW20" s="8">
        <f t="shared" si="1"/>
        <v>4293</v>
      </c>
      <c r="AX20" s="12"/>
      <c r="AY20" s="16"/>
      <c r="AZ20" s="8">
        <f t="shared" si="2"/>
        <v>4587</v>
      </c>
      <c r="BA20" s="622">
        <f t="shared" si="3"/>
        <v>4293</v>
      </c>
    </row>
    <row r="21" spans="1:53" x14ac:dyDescent="0.3">
      <c r="A21" s="542" t="s">
        <v>123</v>
      </c>
      <c r="B21" s="8"/>
      <c r="C21" s="650"/>
      <c r="D21" s="19"/>
      <c r="E21" s="255"/>
      <c r="F21" s="19"/>
      <c r="G21" s="255"/>
      <c r="H21" s="19"/>
      <c r="I21" s="470">
        <v>12718</v>
      </c>
      <c r="J21" s="19"/>
      <c r="K21" s="326"/>
      <c r="L21" s="21">
        <v>1</v>
      </c>
      <c r="M21" s="255"/>
      <c r="N21" s="19"/>
      <c r="O21" s="326"/>
      <c r="P21" s="19">
        <v>111</v>
      </c>
      <c r="Q21" s="326">
        <v>280</v>
      </c>
      <c r="R21" s="19"/>
      <c r="S21" s="15"/>
      <c r="T21" s="21"/>
      <c r="U21" s="255"/>
      <c r="V21" s="19"/>
      <c r="W21" s="326"/>
      <c r="X21" s="21"/>
      <c r="Y21" s="644"/>
      <c r="Z21" s="38"/>
      <c r="AA21" s="642"/>
      <c r="AB21" s="19">
        <v>75</v>
      </c>
      <c r="AC21" s="470">
        <v>15.43</v>
      </c>
      <c r="AD21" s="640"/>
      <c r="AE21" s="255"/>
      <c r="AF21" s="19"/>
      <c r="AG21" s="470"/>
      <c r="AH21" s="19"/>
      <c r="AI21" s="549"/>
      <c r="AJ21" s="19"/>
      <c r="AK21" s="255"/>
      <c r="AL21" s="201"/>
      <c r="AM21" s="255"/>
      <c r="AN21" s="203"/>
      <c r="AO21" s="630"/>
      <c r="AP21" s="12"/>
      <c r="AQ21" s="255"/>
      <c r="AR21" s="158"/>
      <c r="AS21" s="470"/>
      <c r="AT21" s="19">
        <v>269.36</v>
      </c>
      <c r="AU21" s="255"/>
      <c r="AV21" s="8">
        <f t="shared" si="0"/>
        <v>456.36</v>
      </c>
      <c r="AW21" s="8">
        <f t="shared" si="1"/>
        <v>13013.43</v>
      </c>
      <c r="AX21" s="19"/>
      <c r="AY21" s="16"/>
      <c r="AZ21" s="8">
        <f t="shared" si="2"/>
        <v>456.36</v>
      </c>
      <c r="BA21" s="622">
        <f t="shared" si="3"/>
        <v>13013.43</v>
      </c>
    </row>
    <row r="22" spans="1:53" ht="28.5" x14ac:dyDescent="0.3">
      <c r="A22" s="542" t="s">
        <v>124</v>
      </c>
      <c r="B22" s="37">
        <v>11460</v>
      </c>
      <c r="C22" s="650">
        <v>14618</v>
      </c>
      <c r="D22" s="12">
        <v>4704</v>
      </c>
      <c r="E22" s="255">
        <v>4706</v>
      </c>
      <c r="F22" s="12">
        <v>2584</v>
      </c>
      <c r="G22" s="255">
        <v>2282</v>
      </c>
      <c r="H22" s="12">
        <v>45803</v>
      </c>
      <c r="I22" s="470">
        <v>30013</v>
      </c>
      <c r="J22" s="12"/>
      <c r="K22" s="326"/>
      <c r="L22" s="14">
        <f>23+82+7777+59</f>
        <v>7941</v>
      </c>
      <c r="M22" s="255">
        <f>8+32+20236+1+71+664</f>
        <v>21012</v>
      </c>
      <c r="N22" s="216">
        <f>1574+46</f>
        <v>1620</v>
      </c>
      <c r="O22" s="326">
        <f>8057+1544</f>
        <v>9601</v>
      </c>
      <c r="P22" s="12">
        <v>13627</v>
      </c>
      <c r="Q22" s="326">
        <v>12335</v>
      </c>
      <c r="R22" s="12"/>
      <c r="S22" s="15">
        <v>14870</v>
      </c>
      <c r="T22" s="14">
        <f>10298+126</f>
        <v>10424</v>
      </c>
      <c r="U22" s="255">
        <f>8352+126</f>
        <v>8478</v>
      </c>
      <c r="V22" s="12"/>
      <c r="W22" s="326"/>
      <c r="X22" s="14"/>
      <c r="Y22" s="644"/>
      <c r="Z22" s="38"/>
      <c r="AA22" s="642"/>
      <c r="AC22" s="470"/>
      <c r="AD22" s="12">
        <v>2439</v>
      </c>
      <c r="AE22" s="255">
        <v>28590</v>
      </c>
      <c r="AF22" s="12">
        <v>13283</v>
      </c>
      <c r="AG22" s="470">
        <v>14863</v>
      </c>
      <c r="AH22" s="12">
        <v>3027</v>
      </c>
      <c r="AI22" s="255">
        <v>19470</v>
      </c>
      <c r="AJ22" s="12">
        <v>287</v>
      </c>
      <c r="AK22" s="255">
        <v>7850</v>
      </c>
      <c r="AL22" s="201"/>
      <c r="AM22" s="255"/>
      <c r="AN22" s="203"/>
      <c r="AO22" s="630"/>
      <c r="AP22" s="12">
        <v>375</v>
      </c>
      <c r="AQ22" s="255">
        <v>8621</v>
      </c>
      <c r="AR22" s="158">
        <v>2054</v>
      </c>
      <c r="AS22" s="470">
        <v>21259</v>
      </c>
      <c r="AT22" s="12">
        <v>39983</v>
      </c>
      <c r="AU22" s="255">
        <v>15928</v>
      </c>
      <c r="AV22" s="8">
        <f>SUM(B22+D22+F22+H22+J22+L22+N22+P22+R22+T22+V22+X22+Z22+AB19+AD22+AF22+AH22+AJ22+AL22+AN22+AP22+AR22+AT22)</f>
        <v>175445</v>
      </c>
      <c r="AW22" s="8">
        <f t="shared" si="1"/>
        <v>234496</v>
      </c>
      <c r="AX22" s="158">
        <v>23344.9</v>
      </c>
      <c r="AY22" s="16"/>
      <c r="AZ22" s="8">
        <f t="shared" si="2"/>
        <v>198789.9</v>
      </c>
      <c r="BA22" s="622">
        <f t="shared" si="3"/>
        <v>234496</v>
      </c>
    </row>
    <row r="23" spans="1:53" ht="28.5" x14ac:dyDescent="0.3">
      <c r="A23" s="542" t="s">
        <v>125</v>
      </c>
      <c r="B23" s="37"/>
      <c r="C23" s="650"/>
      <c r="D23" s="12"/>
      <c r="E23" s="255"/>
      <c r="F23" s="12"/>
      <c r="G23" s="255"/>
      <c r="H23" s="12"/>
      <c r="I23" s="470"/>
      <c r="J23" s="12"/>
      <c r="K23" s="326"/>
      <c r="L23" s="14"/>
      <c r="M23" s="255"/>
      <c r="N23" s="12"/>
      <c r="O23" s="326"/>
      <c r="P23" s="12"/>
      <c r="Q23" s="326"/>
      <c r="R23" s="12"/>
      <c r="S23" s="15"/>
      <c r="T23" s="14"/>
      <c r="U23" s="255"/>
      <c r="V23" s="12"/>
      <c r="W23" s="326"/>
      <c r="X23" s="14"/>
      <c r="Y23" s="644"/>
      <c r="Z23" s="38"/>
      <c r="AA23" s="642"/>
      <c r="AB23" s="12"/>
      <c r="AC23" s="470"/>
      <c r="AD23" s="12"/>
      <c r="AE23" s="255"/>
      <c r="AF23" s="12"/>
      <c r="AG23" s="470"/>
      <c r="AH23" s="12"/>
      <c r="AI23" s="255"/>
      <c r="AJ23" s="12"/>
      <c r="AK23" s="255"/>
      <c r="AL23" s="201"/>
      <c r="AM23" s="255"/>
      <c r="AN23" s="201"/>
      <c r="AO23" s="630"/>
      <c r="AP23" s="12"/>
      <c r="AQ23" s="255"/>
      <c r="AR23" s="158"/>
      <c r="AS23" s="470"/>
      <c r="AT23" s="12"/>
      <c r="AU23" s="255"/>
      <c r="AV23" s="8">
        <f t="shared" si="0"/>
        <v>0</v>
      </c>
      <c r="AW23" s="8">
        <f t="shared" si="1"/>
        <v>0</v>
      </c>
      <c r="AX23" s="158"/>
      <c r="AY23" s="16"/>
      <c r="AZ23" s="8">
        <f t="shared" si="2"/>
        <v>0</v>
      </c>
      <c r="BA23" s="622">
        <f t="shared" si="3"/>
        <v>0</v>
      </c>
    </row>
    <row r="24" spans="1:53" ht="28.5" x14ac:dyDescent="0.3">
      <c r="A24" s="542" t="s">
        <v>126</v>
      </c>
      <c r="B24" s="37"/>
      <c r="C24" s="650"/>
      <c r="D24" s="12"/>
      <c r="E24" s="255"/>
      <c r="F24" s="12"/>
      <c r="G24" s="255">
        <v>-103</v>
      </c>
      <c r="H24" s="12">
        <v>1339</v>
      </c>
      <c r="I24" s="470">
        <v>-12718</v>
      </c>
      <c r="J24" s="12"/>
      <c r="K24" s="326"/>
      <c r="L24" s="14"/>
      <c r="M24" s="255"/>
      <c r="N24" s="12"/>
      <c r="O24" s="326">
        <v>-1512</v>
      </c>
      <c r="P24" s="12"/>
      <c r="Q24" s="326">
        <v>-1667</v>
      </c>
      <c r="R24" s="12"/>
      <c r="S24" s="15"/>
      <c r="T24" s="14"/>
      <c r="U24" s="255"/>
      <c r="V24" s="12">
        <v>-2390</v>
      </c>
      <c r="W24" s="326">
        <v>-2612</v>
      </c>
      <c r="X24" s="14"/>
      <c r="Y24" s="644"/>
      <c r="Z24" s="38">
        <v>-22</v>
      </c>
      <c r="AA24" s="642">
        <v>-35</v>
      </c>
      <c r="AB24" s="12"/>
      <c r="AC24" s="470"/>
      <c r="AD24" s="12"/>
      <c r="AE24" s="255">
        <v>-28</v>
      </c>
      <c r="AF24" s="12"/>
      <c r="AG24" s="470">
        <v>-118</v>
      </c>
      <c r="AH24" s="12"/>
      <c r="AI24" s="255"/>
      <c r="AJ24" s="12"/>
      <c r="AK24" s="255">
        <v>-211</v>
      </c>
      <c r="AL24" s="201"/>
      <c r="AM24" s="255"/>
      <c r="AN24" s="202">
        <v>-103</v>
      </c>
      <c r="AO24" s="630"/>
      <c r="AP24" s="12"/>
      <c r="AQ24" s="255"/>
      <c r="AR24" s="158"/>
      <c r="AS24" s="470">
        <v>-1120</v>
      </c>
      <c r="AT24" s="12"/>
      <c r="AU24" s="255"/>
      <c r="AV24" s="8">
        <f t="shared" si="0"/>
        <v>-1176</v>
      </c>
      <c r="AW24" s="8">
        <f t="shared" si="1"/>
        <v>-20124</v>
      </c>
      <c r="AX24" s="158"/>
      <c r="AY24" s="16"/>
      <c r="AZ24" s="8">
        <f t="shared" si="2"/>
        <v>-1176</v>
      </c>
      <c r="BA24" s="622">
        <f t="shared" si="3"/>
        <v>-20124</v>
      </c>
    </row>
    <row r="25" spans="1:53" ht="28.5" x14ac:dyDescent="0.3">
      <c r="A25" s="542" t="s">
        <v>127</v>
      </c>
      <c r="B25" s="37"/>
      <c r="C25" s="650"/>
      <c r="D25" s="12"/>
      <c r="E25" s="255">
        <v>143</v>
      </c>
      <c r="F25" s="12"/>
      <c r="G25" s="255"/>
      <c r="H25" s="12"/>
      <c r="I25" s="470"/>
      <c r="J25" s="12"/>
      <c r="K25" s="326"/>
      <c r="L25" s="14">
        <v>-0.48</v>
      </c>
      <c r="M25" s="255">
        <v>18</v>
      </c>
      <c r="N25" s="12"/>
      <c r="O25" s="326"/>
      <c r="P25" s="12"/>
      <c r="Q25" s="326"/>
      <c r="R25" s="12"/>
      <c r="S25" s="15"/>
      <c r="T25" s="14"/>
      <c r="U25" s="255"/>
      <c r="V25" s="12"/>
      <c r="W25" s="326"/>
      <c r="X25" s="14"/>
      <c r="Y25" s="644">
        <v>-791</v>
      </c>
      <c r="Z25" s="38"/>
      <c r="AA25" s="642"/>
      <c r="AB25" s="12"/>
      <c r="AC25" s="470"/>
      <c r="AD25" s="12"/>
      <c r="AE25" s="255"/>
      <c r="AF25" s="12"/>
      <c r="AG25" s="470"/>
      <c r="AH25" s="12"/>
      <c r="AI25" s="255"/>
      <c r="AJ25" s="12"/>
      <c r="AK25" s="255"/>
      <c r="AL25" s="201"/>
      <c r="AM25" s="255"/>
      <c r="AN25" s="203"/>
      <c r="AO25" s="630"/>
      <c r="AP25" s="12"/>
      <c r="AQ25" s="255"/>
      <c r="AR25" s="158">
        <v>1</v>
      </c>
      <c r="AS25" s="470">
        <v>13</v>
      </c>
      <c r="AT25" s="12">
        <v>-133</v>
      </c>
      <c r="AU25" s="255">
        <v>77</v>
      </c>
      <c r="AV25" s="8">
        <f t="shared" si="0"/>
        <v>-132.47999999999999</v>
      </c>
      <c r="AW25" s="8">
        <f t="shared" si="1"/>
        <v>-540</v>
      </c>
      <c r="AX25" s="158"/>
      <c r="AY25" s="16"/>
      <c r="AZ25" s="8">
        <f t="shared" si="2"/>
        <v>-132.47999999999999</v>
      </c>
      <c r="BA25" s="622">
        <f t="shared" si="3"/>
        <v>-540</v>
      </c>
    </row>
    <row r="26" spans="1:53" x14ac:dyDescent="0.3">
      <c r="A26" s="542" t="s">
        <v>173</v>
      </c>
      <c r="B26" s="37"/>
      <c r="C26" s="650"/>
      <c r="D26" s="12"/>
      <c r="E26" s="255"/>
      <c r="F26" s="12"/>
      <c r="G26" s="255"/>
      <c r="H26" s="12"/>
      <c r="I26" s="470"/>
      <c r="J26" s="12">
        <v>47</v>
      </c>
      <c r="K26" s="326"/>
      <c r="L26" s="14"/>
      <c r="M26" s="255"/>
      <c r="N26" s="12"/>
      <c r="O26" s="326"/>
      <c r="P26" s="12"/>
      <c r="Q26" s="326"/>
      <c r="R26" s="12"/>
      <c r="S26" s="15"/>
      <c r="T26" s="14"/>
      <c r="U26" s="255"/>
      <c r="V26" s="12"/>
      <c r="W26" s="326"/>
      <c r="X26" s="14">
        <v>75782</v>
      </c>
      <c r="Y26" s="644">
        <v>115822</v>
      </c>
      <c r="Z26" s="38">
        <v>200</v>
      </c>
      <c r="AA26" s="642">
        <v>163</v>
      </c>
      <c r="AB26" s="12"/>
      <c r="AC26" s="470"/>
      <c r="AD26" s="12"/>
      <c r="AE26" s="255"/>
      <c r="AF26" s="12"/>
      <c r="AG26" s="470"/>
      <c r="AH26" s="12">
        <v>1628</v>
      </c>
      <c r="AI26" s="255"/>
      <c r="AJ26" s="12"/>
      <c r="AK26" s="255"/>
      <c r="AL26" s="201"/>
      <c r="AM26" s="255"/>
      <c r="AN26" s="203"/>
      <c r="AO26" s="630"/>
      <c r="AP26" s="230"/>
      <c r="AQ26" s="255"/>
      <c r="AR26" s="158"/>
      <c r="AS26" s="470"/>
      <c r="AT26" s="12"/>
      <c r="AU26" s="255"/>
      <c r="AV26" s="8"/>
      <c r="AW26" s="8"/>
      <c r="AX26" s="158"/>
      <c r="AY26" s="16"/>
      <c r="AZ26" s="8"/>
      <c r="BA26" s="622"/>
    </row>
    <row r="27" spans="1:53" s="575" customFormat="1" x14ac:dyDescent="0.3">
      <c r="A27" s="572" t="s">
        <v>248</v>
      </c>
      <c r="B27" s="573">
        <f t="shared" ref="B27:AE27" si="6">SUM(B14:B25)</f>
        <v>15708</v>
      </c>
      <c r="C27" s="573">
        <f t="shared" si="6"/>
        <v>17517</v>
      </c>
      <c r="D27" s="573">
        <f>SUM(D14:D26)</f>
        <v>5541</v>
      </c>
      <c r="E27" s="573">
        <f t="shared" si="6"/>
        <v>5439</v>
      </c>
      <c r="F27" s="573">
        <f t="shared" si="6"/>
        <v>3187</v>
      </c>
      <c r="G27" s="573">
        <f t="shared" si="6"/>
        <v>2515</v>
      </c>
      <c r="H27" s="573">
        <f t="shared" si="6"/>
        <v>49854</v>
      </c>
      <c r="I27" s="681">
        <f t="shared" si="6"/>
        <v>32411</v>
      </c>
      <c r="J27" s="573">
        <v>621</v>
      </c>
      <c r="K27" s="574">
        <f t="shared" si="6"/>
        <v>510</v>
      </c>
      <c r="L27" s="683">
        <f>SUM(L14:L26)</f>
        <v>8466.52</v>
      </c>
      <c r="M27" s="681">
        <f>SUM(M14:M26)</f>
        <v>21450</v>
      </c>
      <c r="N27" s="573">
        <v>2757</v>
      </c>
      <c r="O27" s="574">
        <f>SUM(O14:O26)</f>
        <v>8855</v>
      </c>
      <c r="P27" s="573">
        <f t="shared" si="6"/>
        <v>13760</v>
      </c>
      <c r="Q27" s="574">
        <f t="shared" si="6"/>
        <v>10997</v>
      </c>
      <c r="R27" s="573">
        <f t="shared" si="6"/>
        <v>0</v>
      </c>
      <c r="S27" s="574">
        <f t="shared" si="6"/>
        <v>15769</v>
      </c>
      <c r="T27" s="683">
        <f t="shared" si="6"/>
        <v>10845</v>
      </c>
      <c r="U27" s="681">
        <f t="shared" si="6"/>
        <v>8845</v>
      </c>
      <c r="V27" s="573">
        <f t="shared" si="6"/>
        <v>3779</v>
      </c>
      <c r="W27" s="574">
        <f t="shared" si="6"/>
        <v>20690</v>
      </c>
      <c r="X27" s="683">
        <v>81131</v>
      </c>
      <c r="Y27" s="683">
        <v>120326</v>
      </c>
      <c r="Z27" s="573">
        <f>SUM(Z14:Z26)</f>
        <v>644</v>
      </c>
      <c r="AA27" s="573">
        <f>SUM(AA14:AA26)</f>
        <v>551</v>
      </c>
      <c r="AB27" s="573">
        <f>SUM(AB14:AB26)</f>
        <v>16321</v>
      </c>
      <c r="AC27" s="573">
        <f t="shared" si="6"/>
        <v>33017.230000000003</v>
      </c>
      <c r="AD27" s="573">
        <f t="shared" si="6"/>
        <v>3278</v>
      </c>
      <c r="AE27" s="573">
        <f t="shared" si="6"/>
        <v>29426</v>
      </c>
      <c r="AF27" s="573">
        <f>SUM(AF14:AF26)</f>
        <v>17077</v>
      </c>
      <c r="AG27" s="573">
        <f>SUM(AG14:AG26)</f>
        <v>18657</v>
      </c>
      <c r="AH27" s="573">
        <f>SUM(AH14:AH26)</f>
        <v>5912</v>
      </c>
      <c r="AI27" s="635">
        <f t="shared" ref="AI27:AS27" si="7">SUM(AI14:AI25)</f>
        <v>19770</v>
      </c>
      <c r="AJ27" s="573">
        <f t="shared" si="7"/>
        <v>2449</v>
      </c>
      <c r="AK27" s="573">
        <f t="shared" si="7"/>
        <v>10545</v>
      </c>
      <c r="AL27" s="573">
        <f t="shared" si="7"/>
        <v>0</v>
      </c>
      <c r="AM27" s="635">
        <f t="shared" si="7"/>
        <v>0</v>
      </c>
      <c r="AN27" s="573">
        <f t="shared" si="7"/>
        <v>1589</v>
      </c>
      <c r="AO27" s="573">
        <f t="shared" si="7"/>
        <v>13459</v>
      </c>
      <c r="AP27" s="574">
        <f t="shared" si="7"/>
        <v>506.92</v>
      </c>
      <c r="AQ27" s="574">
        <f t="shared" si="7"/>
        <v>8850</v>
      </c>
      <c r="AR27" s="573">
        <f t="shared" si="7"/>
        <v>3116</v>
      </c>
      <c r="AS27" s="573">
        <f t="shared" si="7"/>
        <v>20556</v>
      </c>
      <c r="AT27" s="573">
        <v>42392</v>
      </c>
      <c r="AU27" s="573">
        <v>16735</v>
      </c>
      <c r="AV27" s="573">
        <f t="shared" ref="AV27:AW29" si="8">SUM(B27+D27+F27+H27+J27+L27+N27+P27+R27+T27+V27+X27+Z27+AB27+AD27+AF27+AH27+AJ27+AL27+AN27+AP27+AR27+AT27)</f>
        <v>288934.44000000006</v>
      </c>
      <c r="AW27" s="573">
        <f t="shared" si="8"/>
        <v>436890.23</v>
      </c>
      <c r="AX27" s="573">
        <f>SUM(AX14:AX25)</f>
        <v>23364.32</v>
      </c>
      <c r="AY27" s="573">
        <f>SUM(AY14:AY25)</f>
        <v>24.82</v>
      </c>
      <c r="AZ27" s="573">
        <f t="shared" ref="AZ27:BA29" si="9">AV27+AX27</f>
        <v>312298.76000000007</v>
      </c>
      <c r="BA27" s="574"/>
    </row>
    <row r="28" spans="1:53" ht="28.5" x14ac:dyDescent="0.3">
      <c r="A28" s="542" t="s">
        <v>128</v>
      </c>
      <c r="B28" s="37">
        <v>7031</v>
      </c>
      <c r="C28" s="650">
        <v>6723</v>
      </c>
      <c r="D28" s="12">
        <v>-5252</v>
      </c>
      <c r="E28" s="255">
        <v>-5229</v>
      </c>
      <c r="F28" s="12">
        <v>-1395</v>
      </c>
      <c r="G28" s="255">
        <v>-220</v>
      </c>
      <c r="H28" s="12">
        <v>31972</v>
      </c>
      <c r="I28" s="470">
        <v>18385</v>
      </c>
      <c r="J28" s="12">
        <v>-14705</v>
      </c>
      <c r="K28" s="326">
        <v>-17742</v>
      </c>
      <c r="L28" s="14">
        <v>-4057</v>
      </c>
      <c r="M28" s="255">
        <v>-17198</v>
      </c>
      <c r="N28" s="12">
        <v>5875</v>
      </c>
      <c r="O28" s="326">
        <v>-4393</v>
      </c>
      <c r="P28" s="12">
        <v>-11413</v>
      </c>
      <c r="Q28" s="326">
        <v>-10134</v>
      </c>
      <c r="R28" s="12"/>
      <c r="S28" s="15">
        <v>-11388</v>
      </c>
      <c r="T28" s="14">
        <v>-10102</v>
      </c>
      <c r="U28" s="255">
        <v>-8073</v>
      </c>
      <c r="V28" s="12">
        <v>68368</v>
      </c>
      <c r="W28" s="326">
        <v>58268</v>
      </c>
      <c r="X28" s="14">
        <v>35704</v>
      </c>
      <c r="Y28" s="644">
        <v>26034</v>
      </c>
      <c r="Z28" s="38">
        <v>2154</v>
      </c>
      <c r="AA28" s="642">
        <v>2170</v>
      </c>
      <c r="AB28" s="12">
        <v>-9754</v>
      </c>
      <c r="AC28" s="470">
        <v>-23991</v>
      </c>
      <c r="AD28" s="12">
        <v>53642</v>
      </c>
      <c r="AE28" s="255">
        <v>-16068</v>
      </c>
      <c r="AF28" s="12">
        <v>14365</v>
      </c>
      <c r="AG28" s="470">
        <v>14764</v>
      </c>
      <c r="AH28" s="12">
        <v>4563</v>
      </c>
      <c r="AI28" s="255">
        <v>-10063</v>
      </c>
      <c r="AJ28" s="12">
        <v>2736</v>
      </c>
      <c r="AK28" s="255">
        <v>-4473</v>
      </c>
      <c r="AL28" s="201"/>
      <c r="AM28" s="255"/>
      <c r="AN28" s="202">
        <v>65406</v>
      </c>
      <c r="AO28" s="630">
        <v>48531</v>
      </c>
      <c r="AP28" s="12">
        <v>2366.54</v>
      </c>
      <c r="AQ28" s="255">
        <v>-4246</v>
      </c>
      <c r="AR28" s="158">
        <v>5980</v>
      </c>
      <c r="AS28" s="470">
        <v>-7419</v>
      </c>
      <c r="AT28" s="12">
        <v>19303</v>
      </c>
      <c r="AU28" s="255">
        <v>-5715</v>
      </c>
      <c r="AV28" s="8">
        <f t="shared" si="8"/>
        <v>262787.54000000004</v>
      </c>
      <c r="AW28" s="8">
        <f t="shared" si="8"/>
        <v>28523</v>
      </c>
      <c r="AX28" s="158">
        <v>1667894.18</v>
      </c>
      <c r="AY28" s="16">
        <v>145211.89000000001</v>
      </c>
      <c r="AZ28" s="8">
        <f t="shared" si="9"/>
        <v>1930681.72</v>
      </c>
      <c r="BA28" s="622">
        <f t="shared" si="9"/>
        <v>173734.89</v>
      </c>
    </row>
    <row r="29" spans="1:53" x14ac:dyDescent="0.3">
      <c r="A29" s="542" t="s">
        <v>129</v>
      </c>
      <c r="B29" s="37">
        <v>881</v>
      </c>
      <c r="C29" s="650">
        <v>960</v>
      </c>
      <c r="D29" s="12"/>
      <c r="E29" s="255"/>
      <c r="F29" s="12"/>
      <c r="G29" s="255"/>
      <c r="H29" s="12">
        <v>3633</v>
      </c>
      <c r="I29" s="470">
        <v>-422</v>
      </c>
      <c r="J29" s="12"/>
      <c r="K29" s="326"/>
      <c r="L29" s="14">
        <v>610</v>
      </c>
      <c r="M29" s="255"/>
      <c r="N29" s="12"/>
      <c r="O29" s="326"/>
      <c r="P29" s="12"/>
      <c r="Q29" s="326"/>
      <c r="R29" s="12"/>
      <c r="S29" s="15"/>
      <c r="T29" s="14"/>
      <c r="U29" s="255"/>
      <c r="V29" s="12">
        <v>199</v>
      </c>
      <c r="W29" s="326">
        <v>617</v>
      </c>
      <c r="X29" s="14"/>
      <c r="Y29" s="644"/>
      <c r="Z29" s="38">
        <v>310</v>
      </c>
      <c r="AA29" s="642">
        <v>316</v>
      </c>
      <c r="AB29" s="12"/>
      <c r="AC29" s="470"/>
      <c r="AD29" s="12"/>
      <c r="AE29" s="255"/>
      <c r="AF29" s="12">
        <v>2022</v>
      </c>
      <c r="AG29" s="470">
        <v>1053</v>
      </c>
      <c r="AH29" s="12">
        <v>532</v>
      </c>
      <c r="AI29" s="255"/>
      <c r="AJ29" s="12"/>
      <c r="AK29" s="255"/>
      <c r="AL29" s="201"/>
      <c r="AM29" s="255"/>
      <c r="AN29" s="201"/>
      <c r="AO29" s="630"/>
      <c r="AP29" s="12"/>
      <c r="AQ29" s="255"/>
      <c r="AR29" s="158"/>
      <c r="AS29" s="470"/>
      <c r="AT29" s="12">
        <v>826</v>
      </c>
      <c r="AU29" s="255">
        <v>1069</v>
      </c>
      <c r="AV29" s="8">
        <f t="shared" si="8"/>
        <v>9013</v>
      </c>
      <c r="AW29" s="8">
        <f t="shared" si="8"/>
        <v>3593</v>
      </c>
      <c r="AX29" s="158">
        <v>4355.8900000000003</v>
      </c>
      <c r="AY29" s="16">
        <v>1546.31</v>
      </c>
      <c r="AZ29" s="8">
        <f t="shared" si="9"/>
        <v>13368.89</v>
      </c>
      <c r="BA29" s="622">
        <f t="shared" si="9"/>
        <v>5139.3099999999995</v>
      </c>
    </row>
    <row r="30" spans="1:53" ht="28.5" x14ac:dyDescent="0.3">
      <c r="A30" s="542" t="s">
        <v>244</v>
      </c>
      <c r="B30" s="37"/>
      <c r="C30" s="650"/>
      <c r="D30" s="12"/>
      <c r="E30" s="255"/>
      <c r="F30" s="12"/>
      <c r="G30" s="255"/>
      <c r="H30" s="12"/>
      <c r="I30" s="470"/>
      <c r="J30" s="12"/>
      <c r="K30" s="326"/>
      <c r="L30" s="14"/>
      <c r="M30" s="255"/>
      <c r="N30" s="12"/>
      <c r="O30" s="326"/>
      <c r="P30" s="12"/>
      <c r="Q30" s="326"/>
      <c r="R30" s="12"/>
      <c r="S30" s="15"/>
      <c r="T30" s="14"/>
      <c r="U30" s="255"/>
      <c r="V30" s="12"/>
      <c r="W30" s="326"/>
      <c r="X30" s="14"/>
      <c r="Y30" s="644"/>
      <c r="Z30" s="38"/>
      <c r="AA30" s="642"/>
      <c r="AB30" s="12"/>
      <c r="AC30" s="470"/>
      <c r="AD30" s="12">
        <v>1833</v>
      </c>
      <c r="AE30" s="255">
        <v>1135</v>
      </c>
      <c r="AF30" s="12"/>
      <c r="AG30" s="470"/>
      <c r="AH30" s="12"/>
      <c r="AI30" s="255"/>
      <c r="AJ30" s="12"/>
      <c r="AK30" s="255"/>
      <c r="AL30" s="201"/>
      <c r="AM30" s="255"/>
      <c r="AN30" s="201"/>
      <c r="AO30" s="630"/>
      <c r="AP30" s="12">
        <v>399</v>
      </c>
      <c r="AQ30" s="255">
        <v>636</v>
      </c>
      <c r="AR30" s="158"/>
      <c r="AS30" s="470"/>
      <c r="AT30" s="12"/>
      <c r="AU30" s="255"/>
      <c r="AV30" s="8"/>
      <c r="AW30" s="8"/>
      <c r="AX30" s="158"/>
      <c r="AY30" s="16"/>
      <c r="AZ30" s="8"/>
      <c r="BA30" s="622"/>
    </row>
    <row r="31" spans="1:53" ht="28.5" x14ac:dyDescent="0.3">
      <c r="A31" s="542" t="s">
        <v>130</v>
      </c>
      <c r="B31" s="37"/>
      <c r="C31" s="650"/>
      <c r="D31" s="12"/>
      <c r="E31" s="255"/>
      <c r="F31" s="12"/>
      <c r="G31" s="255"/>
      <c r="H31" s="12"/>
      <c r="I31" s="470"/>
      <c r="J31" s="12"/>
      <c r="K31" s="326"/>
      <c r="L31" s="14"/>
      <c r="M31" s="255"/>
      <c r="N31" s="12">
        <v>-764</v>
      </c>
      <c r="O31" s="326">
        <v>570</v>
      </c>
      <c r="P31" s="12"/>
      <c r="Q31" s="326"/>
      <c r="R31" s="12"/>
      <c r="S31" s="15"/>
      <c r="T31" s="14"/>
      <c r="U31" s="255"/>
      <c r="V31" s="12"/>
      <c r="W31" s="326"/>
      <c r="X31" s="14">
        <v>-36</v>
      </c>
      <c r="Y31" s="644">
        <v>-1</v>
      </c>
      <c r="Z31" s="38"/>
      <c r="AA31" s="642"/>
      <c r="AB31" s="12"/>
      <c r="AC31" s="470"/>
      <c r="AD31" s="12"/>
      <c r="AE31" s="255"/>
      <c r="AF31" s="12"/>
      <c r="AG31" s="470"/>
      <c r="AH31" s="12"/>
      <c r="AI31" s="255"/>
      <c r="AJ31" s="12"/>
      <c r="AK31" s="255"/>
      <c r="AL31" s="201"/>
      <c r="AM31" s="255"/>
      <c r="AN31" s="201"/>
      <c r="AO31" s="630"/>
      <c r="AP31" s="12"/>
      <c r="AQ31" s="255"/>
      <c r="AR31" s="158"/>
      <c r="AS31" s="470"/>
      <c r="AT31" s="12"/>
      <c r="AU31" s="255"/>
      <c r="AV31" s="8">
        <f t="shared" ref="AV31:AV39" si="10">SUM(B31+D31+F31+H31+J31+L31+N31+P31+R31+T31+V31+X31+Z31+AB31+AD31+AF31+AH31+AJ31+AL31+AN31+AP31+AR31+AT31)</f>
        <v>-800</v>
      </c>
      <c r="AW31" s="8">
        <f t="shared" ref="AW31:AW39" si="11">SUM(C31+E31+G31+I31+K31+M31+O31+Q31+S31+U31+W31+Y31+AA31+AC31+AE31+AG31+AI31+AK31+AM31+AO31+AQ31+AS31+AU31)</f>
        <v>569</v>
      </c>
      <c r="AX31" s="158"/>
      <c r="AY31" s="16"/>
      <c r="AZ31" s="8">
        <f t="shared" ref="AZ31:AZ39" si="12">AV31+AX31</f>
        <v>-800</v>
      </c>
      <c r="BA31" s="622">
        <f t="shared" ref="BA31:BA39" si="13">AW31+AY31</f>
        <v>569</v>
      </c>
    </row>
    <row r="32" spans="1:53" x14ac:dyDescent="0.3">
      <c r="A32" s="542" t="s">
        <v>131</v>
      </c>
      <c r="B32" s="12"/>
      <c r="C32" s="650"/>
      <c r="D32" s="12"/>
      <c r="E32" s="255"/>
      <c r="F32" s="12"/>
      <c r="G32" s="255"/>
      <c r="H32" s="12"/>
      <c r="I32" s="470"/>
      <c r="J32" s="12"/>
      <c r="K32" s="326"/>
      <c r="L32" s="14"/>
      <c r="M32" s="255"/>
      <c r="N32" s="12"/>
      <c r="O32" s="326"/>
      <c r="P32" s="12"/>
      <c r="Q32" s="326"/>
      <c r="R32" s="12"/>
      <c r="S32" s="15"/>
      <c r="T32" s="14"/>
      <c r="U32" s="255"/>
      <c r="V32" s="12"/>
      <c r="W32" s="326"/>
      <c r="X32" s="14"/>
      <c r="Y32" s="644"/>
      <c r="Z32" s="38"/>
      <c r="AA32" s="642"/>
      <c r="AB32" s="12"/>
      <c r="AC32" s="470"/>
      <c r="AD32" s="12"/>
      <c r="AE32" s="255"/>
      <c r="AF32" s="12"/>
      <c r="AG32" s="470"/>
      <c r="AH32" s="12"/>
      <c r="AI32" s="255"/>
      <c r="AJ32" s="12"/>
      <c r="AK32" s="255"/>
      <c r="AL32" s="201"/>
      <c r="AM32" s="255"/>
      <c r="AN32" s="202">
        <v>1447</v>
      </c>
      <c r="AO32" s="630">
        <v>1553</v>
      </c>
      <c r="AP32" s="12"/>
      <c r="AQ32" s="255"/>
      <c r="AR32" s="158"/>
      <c r="AS32" s="470"/>
      <c r="AT32" s="12"/>
      <c r="AU32" s="255"/>
      <c r="AV32" s="8">
        <f t="shared" si="10"/>
        <v>1447</v>
      </c>
      <c r="AW32" s="8">
        <f t="shared" si="11"/>
        <v>1553</v>
      </c>
      <c r="AX32" s="158"/>
      <c r="AY32" s="16"/>
      <c r="AZ32" s="8">
        <f t="shared" si="12"/>
        <v>1447</v>
      </c>
      <c r="BA32" s="622">
        <f t="shared" si="13"/>
        <v>1553</v>
      </c>
    </row>
    <row r="33" spans="1:53" x14ac:dyDescent="0.3">
      <c r="A33" s="542" t="s">
        <v>132</v>
      </c>
      <c r="B33" s="37">
        <v>6150</v>
      </c>
      <c r="C33" s="650">
        <v>5763</v>
      </c>
      <c r="D33" s="12">
        <v>-5252</v>
      </c>
      <c r="E33" s="255">
        <v>-5229</v>
      </c>
      <c r="F33" s="12">
        <v>-1395</v>
      </c>
      <c r="G33" s="255">
        <v>-220</v>
      </c>
      <c r="H33" s="12">
        <v>28339</v>
      </c>
      <c r="I33" s="470">
        <v>18807</v>
      </c>
      <c r="J33" s="12">
        <v>-14705</v>
      </c>
      <c r="K33" s="326">
        <v>-17742</v>
      </c>
      <c r="L33" s="14">
        <v>-4667</v>
      </c>
      <c r="M33" s="255">
        <v>-17198</v>
      </c>
      <c r="N33" s="12">
        <v>5111</v>
      </c>
      <c r="O33" s="326">
        <v>-3823</v>
      </c>
      <c r="P33" s="12">
        <v>-11413</v>
      </c>
      <c r="Q33" s="326">
        <v>-10134</v>
      </c>
      <c r="R33" s="12"/>
      <c r="S33" s="15">
        <v>-11388</v>
      </c>
      <c r="T33" s="14">
        <f>T28</f>
        <v>-10102</v>
      </c>
      <c r="U33" s="255">
        <v>-8073</v>
      </c>
      <c r="V33" s="12">
        <v>68169</v>
      </c>
      <c r="W33" s="326">
        <v>57651</v>
      </c>
      <c r="X33" s="14">
        <v>35668</v>
      </c>
      <c r="Y33" s="644">
        <v>26033</v>
      </c>
      <c r="Z33" s="38">
        <v>1844</v>
      </c>
      <c r="AA33" s="642">
        <v>1854</v>
      </c>
      <c r="AB33" s="12">
        <v>-9754</v>
      </c>
      <c r="AC33" s="470">
        <v>-23991</v>
      </c>
      <c r="AD33" s="12">
        <v>51809</v>
      </c>
      <c r="AE33" s="255">
        <v>-17203</v>
      </c>
      <c r="AF33" s="12">
        <v>12343</v>
      </c>
      <c r="AG33" s="470">
        <v>13711</v>
      </c>
      <c r="AH33" s="12">
        <v>4031</v>
      </c>
      <c r="AI33" s="255">
        <v>-10063</v>
      </c>
      <c r="AJ33" s="12">
        <v>2736</v>
      </c>
      <c r="AK33" s="255">
        <v>-4473</v>
      </c>
      <c r="AL33" s="201"/>
      <c r="AM33" s="255"/>
      <c r="AN33" s="202">
        <v>63959</v>
      </c>
      <c r="AO33" s="630">
        <v>46978</v>
      </c>
      <c r="AP33" s="12">
        <v>1967</v>
      </c>
      <c r="AQ33" s="255">
        <v>-4883</v>
      </c>
      <c r="AR33" s="158">
        <v>5980</v>
      </c>
      <c r="AS33" s="470">
        <v>-7419</v>
      </c>
      <c r="AT33" s="12">
        <v>18478</v>
      </c>
      <c r="AU33" s="255">
        <v>-6784</v>
      </c>
      <c r="AV33" s="8">
        <f t="shared" si="10"/>
        <v>249296</v>
      </c>
      <c r="AW33" s="8">
        <f t="shared" si="11"/>
        <v>22174</v>
      </c>
      <c r="AX33" s="158">
        <v>1663538.29</v>
      </c>
      <c r="AY33" s="16">
        <v>143665.57999999999</v>
      </c>
      <c r="AZ33" s="8">
        <f t="shared" si="12"/>
        <v>1912834.29</v>
      </c>
      <c r="BA33" s="622">
        <f t="shared" si="13"/>
        <v>165839.57999999999</v>
      </c>
    </row>
    <row r="34" spans="1:53" x14ac:dyDescent="0.3">
      <c r="A34" s="543" t="s">
        <v>133</v>
      </c>
      <c r="B34" s="8"/>
      <c r="C34" s="650"/>
      <c r="D34" s="19"/>
      <c r="E34" s="255"/>
      <c r="F34" s="19"/>
      <c r="G34" s="255"/>
      <c r="H34" s="19"/>
      <c r="I34" s="470"/>
      <c r="J34" s="19"/>
      <c r="K34" s="326"/>
      <c r="L34" s="21"/>
      <c r="M34" s="255"/>
      <c r="N34" s="19"/>
      <c r="O34" s="326"/>
      <c r="P34" s="216"/>
      <c r="Q34" s="326"/>
      <c r="R34" s="19"/>
      <c r="S34" s="15"/>
      <c r="T34" s="21"/>
      <c r="U34" s="255"/>
      <c r="V34" s="19"/>
      <c r="W34" s="326"/>
      <c r="X34" s="21"/>
      <c r="Y34" s="644"/>
      <c r="Z34" s="38"/>
      <c r="AA34" s="642"/>
      <c r="AB34" s="19"/>
      <c r="AC34" s="470"/>
      <c r="AD34" s="640"/>
      <c r="AE34" s="255"/>
      <c r="AF34" s="19"/>
      <c r="AG34" s="470"/>
      <c r="AH34" s="19"/>
      <c r="AI34" s="549"/>
      <c r="AJ34" s="19"/>
      <c r="AK34" s="255"/>
      <c r="AL34" s="201"/>
      <c r="AM34" s="255"/>
      <c r="AN34" s="201"/>
      <c r="AO34" s="630"/>
      <c r="AP34" s="12"/>
      <c r="AQ34" s="255"/>
      <c r="AR34" s="158">
        <v>19388</v>
      </c>
      <c r="AS34" s="470"/>
      <c r="AT34" s="19"/>
      <c r="AU34" s="255"/>
      <c r="AV34" s="8">
        <f t="shared" si="10"/>
        <v>19388</v>
      </c>
      <c r="AW34" s="8">
        <f t="shared" si="11"/>
        <v>0</v>
      </c>
      <c r="AX34" s="19"/>
      <c r="AY34" s="16"/>
      <c r="AZ34" s="8">
        <f t="shared" si="12"/>
        <v>19388</v>
      </c>
      <c r="BA34" s="622">
        <f t="shared" si="13"/>
        <v>0</v>
      </c>
    </row>
    <row r="35" spans="1:53" ht="28.5" x14ac:dyDescent="0.3">
      <c r="A35" s="542" t="s">
        <v>134</v>
      </c>
      <c r="B35" s="37">
        <v>17476</v>
      </c>
      <c r="C35" s="650">
        <v>8293</v>
      </c>
      <c r="D35" s="12">
        <v>-79251</v>
      </c>
      <c r="E35" s="255">
        <v>-70411</v>
      </c>
      <c r="F35" s="12">
        <v>-147534</v>
      </c>
      <c r="G35" s="255">
        <v>-138941</v>
      </c>
      <c r="H35" s="12">
        <v>926350</v>
      </c>
      <c r="I35" s="470">
        <v>907624</v>
      </c>
      <c r="J35" s="12">
        <v>-320383</v>
      </c>
      <c r="K35" s="326">
        <v>-286150</v>
      </c>
      <c r="L35" s="14">
        <v>21537</v>
      </c>
      <c r="M35" s="255">
        <v>20513</v>
      </c>
      <c r="N35" s="12">
        <v>-20951</v>
      </c>
      <c r="O35" s="326">
        <v>-20451</v>
      </c>
      <c r="P35" s="19">
        <v>-185192</v>
      </c>
      <c r="Q35" s="326">
        <v>-162899</v>
      </c>
      <c r="R35" s="12"/>
      <c r="S35" s="15">
        <v>-64297</v>
      </c>
      <c r="T35" s="14">
        <v>-216111</v>
      </c>
      <c r="U35" s="255">
        <v>-197717</v>
      </c>
      <c r="V35" s="12">
        <v>672861</v>
      </c>
      <c r="W35" s="326">
        <v>592940</v>
      </c>
      <c r="X35" s="14">
        <v>407252</v>
      </c>
      <c r="Y35" s="644">
        <v>360062</v>
      </c>
      <c r="Z35" s="158">
        <v>22895</v>
      </c>
      <c r="AA35" s="642">
        <v>23861</v>
      </c>
      <c r="AB35" s="12">
        <v>-45071</v>
      </c>
      <c r="AC35" s="470">
        <v>-16909.39</v>
      </c>
      <c r="AD35" s="12">
        <v>382688</v>
      </c>
      <c r="AE35" s="255">
        <v>348314</v>
      </c>
      <c r="AF35" s="12">
        <v>104193</v>
      </c>
      <c r="AG35" s="470">
        <v>84173</v>
      </c>
      <c r="AH35" s="12">
        <v>-67170</v>
      </c>
      <c r="AI35" s="255">
        <v>-60067</v>
      </c>
      <c r="AJ35" s="12">
        <v>-8185</v>
      </c>
      <c r="AK35" s="255">
        <v>-14707</v>
      </c>
      <c r="AL35" s="201"/>
      <c r="AM35" s="255"/>
      <c r="AN35" s="202">
        <v>1039408</v>
      </c>
      <c r="AO35" s="630">
        <v>908816</v>
      </c>
      <c r="AP35" s="12">
        <v>50492</v>
      </c>
      <c r="AQ35" s="255">
        <v>54668</v>
      </c>
      <c r="AR35" s="158"/>
      <c r="AS35" s="470">
        <v>19342</v>
      </c>
      <c r="AT35" s="12">
        <v>20319</v>
      </c>
      <c r="AU35" s="255">
        <v>18127</v>
      </c>
      <c r="AV35" s="8">
        <f t="shared" si="10"/>
        <v>2575623</v>
      </c>
      <c r="AW35" s="8">
        <f t="shared" si="11"/>
        <v>2314183.61</v>
      </c>
      <c r="AX35" s="12">
        <v>401433.3</v>
      </c>
      <c r="AY35" s="16"/>
      <c r="AZ35" s="8">
        <f t="shared" si="12"/>
        <v>2977056.3</v>
      </c>
      <c r="BA35" s="622">
        <f t="shared" si="13"/>
        <v>2314183.61</v>
      </c>
    </row>
    <row r="36" spans="1:53" ht="42.75" x14ac:dyDescent="0.3">
      <c r="A36" s="544" t="s">
        <v>373</v>
      </c>
      <c r="B36" s="37"/>
      <c r="C36" s="650"/>
      <c r="D36" s="12"/>
      <c r="E36" s="255"/>
      <c r="F36" s="12"/>
      <c r="G36" s="255"/>
      <c r="H36" s="12">
        <v>31498</v>
      </c>
      <c r="I36" s="470"/>
      <c r="J36" s="12"/>
      <c r="K36" s="326"/>
      <c r="L36" s="14">
        <v>2850</v>
      </c>
      <c r="M36" s="255"/>
      <c r="N36" s="12"/>
      <c r="O36" s="326"/>
      <c r="P36" s="12"/>
      <c r="Q36" s="326"/>
      <c r="R36" s="12"/>
      <c r="S36" s="15"/>
      <c r="T36" s="14"/>
      <c r="U36" s="255"/>
      <c r="V36" s="12"/>
      <c r="W36" s="326"/>
      <c r="X36" s="14"/>
      <c r="Y36" s="644"/>
      <c r="Z36" s="158"/>
      <c r="AA36" s="642"/>
      <c r="AB36" s="12"/>
      <c r="AC36" s="470"/>
      <c r="AD36" s="12"/>
      <c r="AE36" s="255"/>
      <c r="AF36" s="12"/>
      <c r="AG36" s="470"/>
      <c r="AH36" s="12"/>
      <c r="AI36" s="255"/>
      <c r="AJ36" s="12"/>
      <c r="AK36" s="255"/>
      <c r="AL36" s="201"/>
      <c r="AM36" s="255"/>
      <c r="AN36" s="203"/>
      <c r="AO36" s="630"/>
      <c r="AP36" s="12"/>
      <c r="AQ36" s="255">
        <v>4430</v>
      </c>
      <c r="AR36" s="158"/>
      <c r="AS36" s="470"/>
      <c r="AT36" s="12"/>
      <c r="AU36" s="255"/>
      <c r="AV36" s="8">
        <f t="shared" si="10"/>
        <v>34348</v>
      </c>
      <c r="AW36" s="8">
        <f t="shared" si="11"/>
        <v>4430</v>
      </c>
      <c r="AX36" s="12"/>
      <c r="AY36" s="16"/>
      <c r="AZ36" s="8">
        <f t="shared" si="12"/>
        <v>34348</v>
      </c>
      <c r="BA36" s="622">
        <f t="shared" si="13"/>
        <v>4430</v>
      </c>
    </row>
    <row r="37" spans="1:53" ht="28.5" x14ac:dyDescent="0.3">
      <c r="A37" s="544" t="s">
        <v>135</v>
      </c>
      <c r="B37" s="37"/>
      <c r="C37" s="156"/>
      <c r="D37" s="12"/>
      <c r="E37" s="255"/>
      <c r="F37" s="12"/>
      <c r="G37" s="255"/>
      <c r="H37" s="12"/>
      <c r="I37" s="470"/>
      <c r="J37" s="12"/>
      <c r="K37" s="326"/>
      <c r="L37" s="14"/>
      <c r="M37" s="255"/>
      <c r="N37" s="12"/>
      <c r="O37" s="326"/>
      <c r="P37" s="12"/>
      <c r="Q37" s="326"/>
      <c r="R37" s="12"/>
      <c r="S37" s="15"/>
      <c r="T37" s="14"/>
      <c r="U37" s="255"/>
      <c r="V37" s="12">
        <v>-35922</v>
      </c>
      <c r="W37" s="326">
        <v>-40847</v>
      </c>
      <c r="X37" s="14">
        <v>7906</v>
      </c>
      <c r="Y37" s="644">
        <v>28731</v>
      </c>
      <c r="Z37" s="158">
        <v>-2800</v>
      </c>
      <c r="AA37" s="642">
        <v>-10400</v>
      </c>
      <c r="AB37" s="12"/>
      <c r="AC37" s="470"/>
      <c r="AD37" s="12">
        <v>11482</v>
      </c>
      <c r="AE37" s="255">
        <v>8165</v>
      </c>
      <c r="AF37" s="12"/>
      <c r="AG37" s="470">
        <v>17653</v>
      </c>
      <c r="AH37" s="12"/>
      <c r="AI37" s="255"/>
      <c r="AJ37" s="12"/>
      <c r="AK37" s="255"/>
      <c r="AL37" s="201"/>
      <c r="AM37" s="255"/>
      <c r="AN37" s="203"/>
      <c r="AO37" s="630"/>
      <c r="AP37" s="12"/>
      <c r="AQ37" s="255"/>
      <c r="AR37" s="158">
        <v>129</v>
      </c>
      <c r="AS37" s="470">
        <v>984</v>
      </c>
      <c r="AT37" s="12"/>
      <c r="AU37" s="255"/>
      <c r="AV37" s="8">
        <f t="shared" si="10"/>
        <v>-19205</v>
      </c>
      <c r="AW37" s="8">
        <f t="shared" si="11"/>
        <v>4286</v>
      </c>
      <c r="AX37" s="12">
        <v>94874.96</v>
      </c>
      <c r="AY37" s="16"/>
      <c r="AZ37" s="8">
        <f t="shared" si="12"/>
        <v>75669.960000000006</v>
      </c>
      <c r="BA37" s="622">
        <f t="shared" si="13"/>
        <v>4286</v>
      </c>
    </row>
    <row r="38" spans="1:53" ht="28.5" x14ac:dyDescent="0.3">
      <c r="A38" s="542" t="s">
        <v>136</v>
      </c>
      <c r="B38" s="37"/>
      <c r="C38" s="156"/>
      <c r="D38" s="12"/>
      <c r="E38" s="255"/>
      <c r="F38" s="12"/>
      <c r="G38" s="255"/>
      <c r="H38" s="12"/>
      <c r="I38" s="470"/>
      <c r="J38" s="12"/>
      <c r="K38" s="326"/>
      <c r="L38" s="14"/>
      <c r="M38" s="255"/>
      <c r="N38" s="12"/>
      <c r="O38" s="326"/>
      <c r="P38" s="12"/>
      <c r="Q38" s="326"/>
      <c r="R38" s="12"/>
      <c r="S38" s="15"/>
      <c r="T38" s="14"/>
      <c r="U38" s="255"/>
      <c r="V38" s="12"/>
      <c r="W38" s="326"/>
      <c r="X38" s="14"/>
      <c r="Y38" s="644"/>
      <c r="Z38" s="158"/>
      <c r="AA38" s="642"/>
      <c r="AB38" s="12"/>
      <c r="AC38" s="470"/>
      <c r="AD38" s="12"/>
      <c r="AE38" s="255"/>
      <c r="AF38" s="12"/>
      <c r="AG38" s="470"/>
      <c r="AH38" s="12"/>
      <c r="AI38" s="255"/>
      <c r="AJ38" s="12"/>
      <c r="AK38" s="255"/>
      <c r="AL38" s="201"/>
      <c r="AM38" s="255"/>
      <c r="AN38" s="203"/>
      <c r="AO38" s="630"/>
      <c r="AP38" s="12"/>
      <c r="AQ38" s="255"/>
      <c r="AR38" s="158"/>
      <c r="AS38" s="470"/>
      <c r="AT38" s="12"/>
      <c r="AU38" s="255"/>
      <c r="AV38" s="8">
        <f t="shared" si="10"/>
        <v>0</v>
      </c>
      <c r="AW38" s="8">
        <f t="shared" si="11"/>
        <v>0</v>
      </c>
      <c r="AX38" s="12"/>
      <c r="AY38" s="16"/>
      <c r="AZ38" s="8">
        <f t="shared" si="12"/>
        <v>0</v>
      </c>
      <c r="BA38" s="622">
        <f t="shared" si="13"/>
        <v>0</v>
      </c>
    </row>
    <row r="39" spans="1:53" ht="28.5" x14ac:dyDescent="0.3">
      <c r="A39" s="542" t="s">
        <v>137</v>
      </c>
      <c r="B39" s="8"/>
      <c r="C39" s="650">
        <v>1950</v>
      </c>
      <c r="D39" s="19"/>
      <c r="E39" s="255"/>
      <c r="F39" s="19"/>
      <c r="G39" s="255"/>
      <c r="H39" s="19"/>
      <c r="I39" s="470"/>
      <c r="J39" s="19">
        <v>5</v>
      </c>
      <c r="K39" s="326">
        <v>9</v>
      </c>
      <c r="L39" s="21"/>
      <c r="M39" s="255"/>
      <c r="N39" s="19"/>
      <c r="O39" s="326"/>
      <c r="P39" s="19">
        <v>64</v>
      </c>
      <c r="Q39" s="326"/>
      <c r="R39" s="19"/>
      <c r="S39" s="15"/>
      <c r="T39" s="21"/>
      <c r="U39" s="255"/>
      <c r="V39" s="19"/>
      <c r="W39" s="326"/>
      <c r="X39" s="21"/>
      <c r="Y39" s="644"/>
      <c r="Z39" s="38"/>
      <c r="AA39" s="642"/>
      <c r="AB39" s="19"/>
      <c r="AC39" s="470"/>
      <c r="AD39" s="640"/>
      <c r="AE39" s="255"/>
      <c r="AF39" s="19">
        <v>992</v>
      </c>
      <c r="AG39" s="470">
        <v>992</v>
      </c>
      <c r="AH39" s="19"/>
      <c r="AI39" s="638"/>
      <c r="AJ39" s="19"/>
      <c r="AK39" s="255"/>
      <c r="AL39" s="201"/>
      <c r="AM39" s="255"/>
      <c r="AN39" s="203"/>
      <c r="AO39" s="630"/>
      <c r="AP39" s="12"/>
      <c r="AQ39" s="255"/>
      <c r="AR39" s="158"/>
      <c r="AS39" s="470"/>
      <c r="AT39" s="19"/>
      <c r="AU39" s="255"/>
      <c r="AV39" s="8">
        <f t="shared" si="10"/>
        <v>1061</v>
      </c>
      <c r="AW39" s="8">
        <f t="shared" si="11"/>
        <v>2951</v>
      </c>
      <c r="AX39" s="19"/>
      <c r="AY39" s="16">
        <v>2878.81</v>
      </c>
      <c r="AZ39" s="8">
        <f t="shared" si="12"/>
        <v>1061</v>
      </c>
      <c r="BA39" s="622">
        <f t="shared" si="13"/>
        <v>5829.8099999999995</v>
      </c>
    </row>
    <row r="40" spans="1:53" ht="28.5" x14ac:dyDescent="0.3">
      <c r="A40" s="545" t="s">
        <v>238</v>
      </c>
      <c r="B40" s="8"/>
      <c r="C40" s="650"/>
      <c r="D40" s="446"/>
      <c r="E40" s="255"/>
      <c r="F40" s="446"/>
      <c r="G40" s="255"/>
      <c r="H40" s="446"/>
      <c r="I40" s="470"/>
      <c r="J40" s="446"/>
      <c r="K40" s="326"/>
      <c r="L40" s="442"/>
      <c r="M40" s="255"/>
      <c r="N40" s="446"/>
      <c r="O40" s="326"/>
      <c r="P40" s="446"/>
      <c r="Q40" s="326"/>
      <c r="R40" s="446"/>
      <c r="S40" s="15"/>
      <c r="T40" s="442"/>
      <c r="U40" s="255"/>
      <c r="V40" s="446"/>
      <c r="W40" s="326"/>
      <c r="X40" s="442"/>
      <c r="Y40" s="644"/>
      <c r="Z40" s="646"/>
      <c r="AA40" s="642"/>
      <c r="AB40" s="446"/>
      <c r="AC40" s="470"/>
      <c r="AD40" s="641"/>
      <c r="AE40" s="255"/>
      <c r="AF40" s="446"/>
      <c r="AG40" s="470"/>
      <c r="AH40" s="446"/>
      <c r="AI40" s="639"/>
      <c r="AJ40" s="446"/>
      <c r="AK40" s="255"/>
      <c r="AL40" s="637"/>
      <c r="AM40" s="255"/>
      <c r="AN40" s="444"/>
      <c r="AO40" s="630"/>
      <c r="AP40" s="231"/>
      <c r="AQ40" s="255"/>
      <c r="AR40" s="427"/>
      <c r="AS40" s="470"/>
      <c r="AT40" s="446"/>
      <c r="AU40" s="255"/>
      <c r="AV40" s="440"/>
      <c r="AW40" s="440"/>
      <c r="AX40" s="446"/>
      <c r="AY40" s="16"/>
      <c r="AZ40" s="440"/>
      <c r="BA40" s="441"/>
    </row>
    <row r="41" spans="1:53" s="571" customFormat="1" ht="27.75" thickBot="1" x14ac:dyDescent="0.35">
      <c r="A41" s="566" t="s">
        <v>138</v>
      </c>
      <c r="B41" s="567">
        <f t="shared" ref="B41:G41" si="14">B33+B35</f>
        <v>23626</v>
      </c>
      <c r="C41" s="651">
        <v>12106</v>
      </c>
      <c r="D41" s="569">
        <f t="shared" si="14"/>
        <v>-84503</v>
      </c>
      <c r="E41" s="623">
        <f>E35+E33</f>
        <v>-75640</v>
      </c>
      <c r="F41" s="569">
        <f t="shared" si="14"/>
        <v>-148929</v>
      </c>
      <c r="G41" s="569">
        <f t="shared" si="14"/>
        <v>-139161</v>
      </c>
      <c r="H41" s="628">
        <v>923191</v>
      </c>
      <c r="I41" s="687">
        <v>926431</v>
      </c>
      <c r="J41" s="569">
        <v>-335083</v>
      </c>
      <c r="K41" s="628">
        <f>K33+K35</f>
        <v>-303892</v>
      </c>
      <c r="L41" s="684">
        <v>14020</v>
      </c>
      <c r="M41" s="687">
        <f>M33+M35</f>
        <v>3315</v>
      </c>
      <c r="N41" s="569">
        <f>N33+N35</f>
        <v>-15840</v>
      </c>
      <c r="O41" s="688">
        <v>-24274</v>
      </c>
      <c r="P41" s="569">
        <f>P33+P35+P39</f>
        <v>-196541</v>
      </c>
      <c r="Q41" s="628">
        <f t="shared" ref="Q41:U41" si="15">Q33+Q35</f>
        <v>-173033</v>
      </c>
      <c r="R41" s="569">
        <f t="shared" si="15"/>
        <v>0</v>
      </c>
      <c r="S41" s="628">
        <f t="shared" si="15"/>
        <v>-75685</v>
      </c>
      <c r="T41" s="684">
        <v>-226212</v>
      </c>
      <c r="U41" s="687">
        <f t="shared" si="15"/>
        <v>-205790</v>
      </c>
      <c r="V41" s="628">
        <f>V33+V35+V37</f>
        <v>705108</v>
      </c>
      <c r="W41" s="628">
        <f>W33+W35+W37</f>
        <v>609744</v>
      </c>
      <c r="X41" s="827">
        <v>435014</v>
      </c>
      <c r="Y41" s="628">
        <v>357364</v>
      </c>
      <c r="Z41" s="628">
        <v>21939</v>
      </c>
      <c r="AA41" s="628">
        <f>SUM(AA33:AA40)</f>
        <v>15315</v>
      </c>
      <c r="AB41" s="628">
        <v>-54825</v>
      </c>
      <c r="AC41" s="628">
        <f>SUM(AC33:AC40)</f>
        <v>-40900.39</v>
      </c>
      <c r="AD41" s="628">
        <v>423015</v>
      </c>
      <c r="AE41" s="628">
        <v>322947</v>
      </c>
      <c r="AF41" s="628">
        <v>115544</v>
      </c>
      <c r="AG41" s="628">
        <v>79239</v>
      </c>
      <c r="AH41" s="628">
        <v>-63139</v>
      </c>
      <c r="AI41" s="628">
        <v>-70130</v>
      </c>
      <c r="AJ41" s="628">
        <f t="shared" ref="AJ41:AK41" si="16">AJ33+AJ35</f>
        <v>-5449</v>
      </c>
      <c r="AK41" s="628">
        <f t="shared" si="16"/>
        <v>-19180</v>
      </c>
      <c r="AL41" s="569">
        <f>AL33+AL35</f>
        <v>0</v>
      </c>
      <c r="AM41" s="636">
        <f>AM33+AM35</f>
        <v>0</v>
      </c>
      <c r="AN41" s="628">
        <f>AN33+AN35</f>
        <v>1103367</v>
      </c>
      <c r="AO41" s="628">
        <f>AO33+AO35</f>
        <v>955794</v>
      </c>
      <c r="AP41" s="633">
        <v>52459.35</v>
      </c>
      <c r="AQ41" s="627">
        <v>45353</v>
      </c>
      <c r="AR41" s="628">
        <v>25238</v>
      </c>
      <c r="AS41" s="625">
        <v>10938</v>
      </c>
      <c r="AT41" s="569">
        <v>38797</v>
      </c>
      <c r="AU41" s="623">
        <v>11343</v>
      </c>
      <c r="AV41" s="569">
        <f>SUM(B41+D41+F41+H41+J41+L41+N41+P41+R41+T41+V41+X41+Z41+AB41+AD41+AF41+AH41+AJ41+AL41+AN41+AP41+AR41+AT41)</f>
        <v>2750797.35</v>
      </c>
      <c r="AW41" s="569">
        <f>SUM(C41+E41+G41+I41+K41+M41+O41+Q41+S41+U41+W41+Y41+AA41+AC41+AE41+AG41+AI41+AK41+AM41+AO41+AQ41+AS41+AU41)</f>
        <v>2222203.61</v>
      </c>
      <c r="AX41" s="569">
        <v>1970096.63</v>
      </c>
      <c r="AY41" s="570">
        <v>140786.76999999999</v>
      </c>
      <c r="AZ41" s="569">
        <f>AZ33+AZ35</f>
        <v>4889890.59</v>
      </c>
      <c r="BA41" s="568">
        <f>BA33+BA35</f>
        <v>2480023.19</v>
      </c>
    </row>
    <row r="42" spans="1:53" s="36" customFormat="1" ht="28.5" x14ac:dyDescent="0.3">
      <c r="A42" s="218" t="s">
        <v>139</v>
      </c>
      <c r="B42" s="546"/>
      <c r="C42" s="546"/>
      <c r="D42" s="221"/>
      <c r="E42" s="624"/>
      <c r="F42" s="221"/>
      <c r="G42" s="645"/>
      <c r="H42" s="221"/>
      <c r="I42" s="624"/>
      <c r="J42" s="221"/>
      <c r="K42" s="207"/>
      <c r="L42" s="219"/>
      <c r="M42" s="624"/>
      <c r="N42" s="221"/>
      <c r="O42" s="207"/>
      <c r="P42" s="649"/>
      <c r="Q42" s="686"/>
      <c r="R42" s="221"/>
      <c r="S42" s="207"/>
      <c r="T42" s="219"/>
      <c r="U42" s="624"/>
      <c r="V42" s="221"/>
      <c r="W42" s="207"/>
      <c r="X42" s="219"/>
      <c r="Y42" s="645"/>
      <c r="Z42" s="647"/>
      <c r="AA42" s="643"/>
      <c r="AB42" s="221"/>
      <c r="AC42" s="624"/>
      <c r="AD42" s="221"/>
      <c r="AE42" s="624"/>
      <c r="AF42" s="221"/>
      <c r="AG42" s="624"/>
      <c r="AH42" s="221"/>
      <c r="AI42" s="624"/>
      <c r="AJ42" s="221"/>
      <c r="AK42" s="624"/>
      <c r="AL42" s="228"/>
      <c r="AM42" s="624"/>
      <c r="AN42" s="220"/>
      <c r="AO42" s="631"/>
      <c r="AP42" s="221"/>
      <c r="AQ42" s="624"/>
      <c r="AR42" s="629"/>
      <c r="AS42" s="626"/>
      <c r="AT42" s="221"/>
      <c r="AU42" s="624"/>
      <c r="AV42" s="204"/>
      <c r="AW42" s="205"/>
      <c r="AX42" s="221"/>
      <c r="AY42" s="206"/>
      <c r="AZ42" s="204"/>
      <c r="BA42" s="207"/>
    </row>
    <row r="43" spans="1:53" ht="28.5" x14ac:dyDescent="0.3">
      <c r="A43" s="200" t="s">
        <v>140</v>
      </c>
      <c r="B43" s="37"/>
      <c r="C43" s="157"/>
      <c r="D43" s="12"/>
      <c r="E43" s="255"/>
      <c r="F43" s="12"/>
      <c r="G43" s="255"/>
      <c r="H43" s="12"/>
      <c r="I43" s="255"/>
      <c r="J43" s="12"/>
      <c r="K43" s="15"/>
      <c r="L43" s="14"/>
      <c r="M43" s="255"/>
      <c r="N43" s="12"/>
      <c r="O43" s="15"/>
      <c r="P43" s="12"/>
      <c r="Q43" s="15"/>
      <c r="R43" s="12"/>
      <c r="S43" s="15"/>
      <c r="T43" s="14"/>
      <c r="U43" s="255"/>
      <c r="V43" s="12"/>
      <c r="W43" s="15"/>
      <c r="X43" s="14"/>
      <c r="Y43" s="255"/>
      <c r="Z43" s="38"/>
      <c r="AA43" s="642"/>
      <c r="AB43" s="12"/>
      <c r="AC43" s="255"/>
      <c r="AD43" s="12"/>
      <c r="AE43" s="255"/>
      <c r="AF43" s="12"/>
      <c r="AG43" s="255"/>
      <c r="AH43" s="12"/>
      <c r="AI43" s="255"/>
      <c r="AJ43" s="12"/>
      <c r="AK43" s="255"/>
      <c r="AL43" s="201"/>
      <c r="AM43" s="255"/>
      <c r="AN43" s="201"/>
      <c r="AO43" s="632"/>
      <c r="AP43" s="12"/>
      <c r="AQ43" s="255"/>
      <c r="AR43" s="216"/>
      <c r="AT43" s="12"/>
      <c r="AU43" s="255"/>
      <c r="AV43" s="19"/>
      <c r="AW43" s="18"/>
      <c r="AX43" s="12"/>
      <c r="AY43" s="11"/>
      <c r="AZ43" s="19"/>
      <c r="BA43" s="15"/>
    </row>
    <row r="44" spans="1:53" s="962" customFormat="1" ht="13.5" x14ac:dyDescent="0.25">
      <c r="A44" s="957" t="s">
        <v>141</v>
      </c>
      <c r="B44" s="50"/>
      <c r="C44" s="958">
        <v>0.3</v>
      </c>
      <c r="D44" s="4"/>
      <c r="E44" s="58"/>
      <c r="F44" s="4">
        <v>-7.0000000000000007E-2</v>
      </c>
      <c r="G44" s="58">
        <v>-0.01</v>
      </c>
      <c r="H44" s="4"/>
      <c r="I44" s="58"/>
      <c r="J44" s="4">
        <v>-0.42</v>
      </c>
      <c r="K44" s="6">
        <v>-0.56000000000000005</v>
      </c>
      <c r="L44" s="20"/>
      <c r="M44" s="58"/>
      <c r="N44" s="4"/>
      <c r="O44" s="6"/>
      <c r="P44" s="4"/>
      <c r="Q44" s="6"/>
      <c r="R44" s="4"/>
      <c r="S44" s="6"/>
      <c r="T44" s="20"/>
      <c r="U44" s="58"/>
      <c r="V44" s="4"/>
      <c r="W44" s="6"/>
      <c r="X44" s="20"/>
      <c r="Y44" s="58"/>
      <c r="Z44" s="53">
        <v>0.23</v>
      </c>
      <c r="AA44" s="959">
        <v>0.23</v>
      </c>
      <c r="AB44" s="4">
        <v>-1.39</v>
      </c>
      <c r="AC44" s="58">
        <v>-3.62</v>
      </c>
      <c r="AD44" s="4">
        <v>10.15</v>
      </c>
      <c r="AE44" s="58">
        <v>-0.03</v>
      </c>
      <c r="AF44" s="4"/>
      <c r="AG44" s="58"/>
      <c r="AH44" s="4"/>
      <c r="AI44" s="58"/>
      <c r="AJ44" s="4"/>
      <c r="AK44" s="58"/>
      <c r="AL44" s="960"/>
      <c r="AM44" s="58"/>
      <c r="AN44" s="875">
        <v>6.39</v>
      </c>
      <c r="AO44" s="876">
        <v>4.7</v>
      </c>
      <c r="AP44" s="4"/>
      <c r="AQ44" s="58"/>
      <c r="AR44" s="59"/>
      <c r="AS44" s="961"/>
      <c r="AT44" s="4"/>
      <c r="AU44" s="58"/>
      <c r="AV44" s="4"/>
      <c r="AW44" s="5"/>
      <c r="AX44" s="4"/>
      <c r="AY44" s="5"/>
      <c r="AZ44" s="4"/>
      <c r="BA44" s="6"/>
    </row>
    <row r="45" spans="1:53" s="962" customFormat="1" thickBot="1" x14ac:dyDescent="0.3">
      <c r="A45" s="963" t="s">
        <v>142</v>
      </c>
      <c r="B45" s="952"/>
      <c r="C45" s="953">
        <v>0.3</v>
      </c>
      <c r="D45" s="648"/>
      <c r="E45" s="874"/>
      <c r="F45" s="648">
        <v>-7.0000000000000007E-2</v>
      </c>
      <c r="G45" s="874">
        <v>-0.01</v>
      </c>
      <c r="H45" s="648"/>
      <c r="I45" s="874"/>
      <c r="J45" s="648">
        <v>-0.42</v>
      </c>
      <c r="K45" s="670">
        <v>-0.56000000000000005</v>
      </c>
      <c r="L45" s="828"/>
      <c r="M45" s="874"/>
      <c r="N45" s="4"/>
      <c r="O45" s="6"/>
      <c r="P45" s="648"/>
      <c r="Q45" s="670"/>
      <c r="R45" s="648"/>
      <c r="S45" s="670"/>
      <c r="T45" s="828"/>
      <c r="U45" s="874"/>
      <c r="V45" s="648"/>
      <c r="W45" s="670"/>
      <c r="X45" s="828"/>
      <c r="Y45" s="874"/>
      <c r="Z45" s="964">
        <v>0.23</v>
      </c>
      <c r="AA45" s="965">
        <v>0.23</v>
      </c>
      <c r="AB45" s="648">
        <v>-1.39</v>
      </c>
      <c r="AC45" s="874">
        <v>-3.62</v>
      </c>
      <c r="AD45" s="954">
        <v>10</v>
      </c>
      <c r="AE45" s="955">
        <v>-0.03</v>
      </c>
      <c r="AF45" s="648"/>
      <c r="AG45" s="874"/>
      <c r="AH45" s="648"/>
      <c r="AI45" s="874"/>
      <c r="AJ45" s="648"/>
      <c r="AK45" s="874"/>
      <c r="AL45" s="966"/>
      <c r="AM45" s="874"/>
      <c r="AN45" s="877">
        <v>6.39</v>
      </c>
      <c r="AO45" s="878">
        <v>4.6900000000000004</v>
      </c>
      <c r="AP45" s="648"/>
      <c r="AQ45" s="874"/>
      <c r="AR45" s="967"/>
      <c r="AS45" s="968"/>
      <c r="AT45" s="648"/>
      <c r="AU45" s="874"/>
      <c r="AV45" s="648"/>
      <c r="AW45" s="956"/>
      <c r="AX45" s="648"/>
      <c r="AY45" s="956"/>
      <c r="AZ45" s="648"/>
      <c r="BA45" s="670"/>
    </row>
  </sheetData>
  <mergeCells count="29">
    <mergeCell ref="N3:O3"/>
    <mergeCell ref="AZ3:BA3"/>
    <mergeCell ref="H3:I3"/>
    <mergeCell ref="AN3:AO3"/>
    <mergeCell ref="AP3:AQ3"/>
    <mergeCell ref="AR3:AS3"/>
    <mergeCell ref="AT3:AU3"/>
    <mergeCell ref="AV3:AW3"/>
    <mergeCell ref="V3:W3"/>
    <mergeCell ref="Z3:AA3"/>
    <mergeCell ref="AD3:AE3"/>
    <mergeCell ref="AF3:AG3"/>
    <mergeCell ref="AH3:AI3"/>
    <mergeCell ref="A1:AZ1"/>
    <mergeCell ref="A2:AZ2"/>
    <mergeCell ref="A3:A4"/>
    <mergeCell ref="B3:C3"/>
    <mergeCell ref="D3:E3"/>
    <mergeCell ref="F3:G3"/>
    <mergeCell ref="J3:K3"/>
    <mergeCell ref="AX3:AY3"/>
    <mergeCell ref="L3:M3"/>
    <mergeCell ref="AL3:AM3"/>
    <mergeCell ref="AJ3:AK3"/>
    <mergeCell ref="T3:U3"/>
    <mergeCell ref="X3:Y3"/>
    <mergeCell ref="P3:Q3"/>
    <mergeCell ref="R3:S3"/>
    <mergeCell ref="AB3:A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BA68"/>
  <sheetViews>
    <sheetView topLeftCell="A56" workbookViewId="0">
      <pane xSplit="1" topLeftCell="AT1" activePane="topRight" state="frozen"/>
      <selection pane="topRight" activeCell="AX63" sqref="AX63"/>
    </sheetView>
  </sheetViews>
  <sheetFormatPr defaultRowHeight="16.5" x14ac:dyDescent="0.3"/>
  <cols>
    <col min="1" max="1" width="59.28515625" style="61" bestFit="1" customWidth="1"/>
    <col min="2" max="7" width="13.7109375" style="61" bestFit="1" customWidth="1"/>
    <col min="8" max="8" width="14.28515625" style="61" bestFit="1" customWidth="1"/>
    <col min="9" max="9" width="13.7109375" style="61" bestFit="1" customWidth="1"/>
    <col min="10" max="10" width="14.28515625" style="61" bestFit="1" customWidth="1"/>
    <col min="11" max="11" width="13.7109375" style="61" bestFit="1" customWidth="1"/>
    <col min="12" max="12" width="14.28515625" style="61" bestFit="1" customWidth="1"/>
    <col min="13" max="17" width="13.7109375" style="61" bestFit="1" customWidth="1"/>
    <col min="18" max="18" width="14.28515625" style="61" bestFit="1" customWidth="1"/>
    <col min="19" max="21" width="13.7109375" style="61" bestFit="1" customWidth="1"/>
    <col min="22" max="22" width="12.140625" style="61" customWidth="1"/>
    <col min="23" max="23" width="13.7109375" style="61" bestFit="1" customWidth="1"/>
    <col min="24" max="24" width="11.140625" style="61" customWidth="1"/>
    <col min="25" max="25" width="13.7109375" style="61" bestFit="1" customWidth="1"/>
    <col min="26" max="26" width="12.28515625" style="61" customWidth="1"/>
    <col min="27" max="27" width="13.7109375" style="61" bestFit="1" customWidth="1"/>
    <col min="28" max="28" width="14.28515625" style="61" bestFit="1" customWidth="1"/>
    <col min="29" max="29" width="13.7109375" style="61" bestFit="1" customWidth="1"/>
    <col min="30" max="30" width="14.28515625" style="61" bestFit="1" customWidth="1"/>
    <col min="31" max="31" width="13.7109375" style="61" bestFit="1" customWidth="1"/>
    <col min="32" max="32" width="13.28515625" style="61" customWidth="1"/>
    <col min="33" max="33" width="13.7109375" style="61" bestFit="1" customWidth="1"/>
    <col min="34" max="34" width="14.28515625" style="61" bestFit="1" customWidth="1"/>
    <col min="35" max="35" width="13.7109375" style="61" bestFit="1" customWidth="1"/>
    <col min="36" max="36" width="14.28515625" style="61" bestFit="1" customWidth="1"/>
    <col min="37" max="39" width="13.7109375" style="61" bestFit="1" customWidth="1"/>
    <col min="40" max="40" width="12.85546875" style="61" customWidth="1"/>
    <col min="41" max="43" width="13.7109375" style="61" bestFit="1" customWidth="1"/>
    <col min="44" max="44" width="14.28515625" style="61" bestFit="1" customWidth="1"/>
    <col min="45" max="45" width="13.7109375" style="61" bestFit="1" customWidth="1"/>
    <col min="46" max="46" width="14.28515625" style="61" bestFit="1" customWidth="1"/>
    <col min="47" max="47" width="13.7109375" style="61" bestFit="1" customWidth="1"/>
    <col min="48" max="49" width="15.5703125" style="61" bestFit="1" customWidth="1"/>
    <col min="50" max="51" width="13.7109375" style="61" bestFit="1" customWidth="1"/>
    <col min="52" max="53" width="15.5703125" style="61" bestFit="1" customWidth="1"/>
    <col min="54" max="16384" width="9.140625" style="61"/>
  </cols>
  <sheetData>
    <row r="1" spans="1:53" ht="44.25" customHeight="1" thickBot="1" x14ac:dyDescent="0.5">
      <c r="A1" s="830" t="s">
        <v>257</v>
      </c>
      <c r="B1" s="1050" t="s">
        <v>149</v>
      </c>
      <c r="C1" s="1051"/>
      <c r="D1" s="1046" t="s">
        <v>258</v>
      </c>
      <c r="E1" s="1045"/>
      <c r="F1" s="1044" t="s">
        <v>151</v>
      </c>
      <c r="G1" s="1045"/>
      <c r="H1" s="1044" t="s">
        <v>152</v>
      </c>
      <c r="I1" s="1045"/>
      <c r="J1" s="1044" t="s">
        <v>259</v>
      </c>
      <c r="K1" s="1045"/>
      <c r="L1" s="1046" t="s">
        <v>154</v>
      </c>
      <c r="M1" s="1045"/>
      <c r="N1" s="1044" t="s">
        <v>253</v>
      </c>
      <c r="O1" s="1045"/>
      <c r="P1" s="1044" t="s">
        <v>171</v>
      </c>
      <c r="Q1" s="1045"/>
      <c r="R1" s="1044" t="s">
        <v>260</v>
      </c>
      <c r="S1" s="1045"/>
      <c r="T1" s="1044" t="s">
        <v>261</v>
      </c>
      <c r="U1" s="1045"/>
      <c r="V1" s="1044" t="s">
        <v>262</v>
      </c>
      <c r="W1" s="1045"/>
      <c r="X1" s="1044" t="s">
        <v>263</v>
      </c>
      <c r="Y1" s="1045"/>
      <c r="Z1" s="1044" t="s">
        <v>360</v>
      </c>
      <c r="AA1" s="1045"/>
      <c r="AB1" s="1044" t="s">
        <v>160</v>
      </c>
      <c r="AC1" s="1045"/>
      <c r="AD1" s="1044" t="s">
        <v>161</v>
      </c>
      <c r="AE1" s="1045"/>
      <c r="AF1" s="1044" t="s">
        <v>162</v>
      </c>
      <c r="AG1" s="1045"/>
      <c r="AH1" s="1044" t="s">
        <v>243</v>
      </c>
      <c r="AI1" s="1045"/>
      <c r="AJ1" s="1044" t="s">
        <v>164</v>
      </c>
      <c r="AK1" s="1045"/>
      <c r="AL1" s="1044" t="s">
        <v>165</v>
      </c>
      <c r="AM1" s="1045"/>
      <c r="AN1" s="1044" t="s">
        <v>166</v>
      </c>
      <c r="AO1" s="1045"/>
      <c r="AP1" s="1044" t="s">
        <v>167</v>
      </c>
      <c r="AQ1" s="1045"/>
      <c r="AR1" s="1044" t="s">
        <v>264</v>
      </c>
      <c r="AS1" s="1045"/>
      <c r="AT1" s="1044" t="s">
        <v>169</v>
      </c>
      <c r="AU1" s="1045"/>
      <c r="AV1" s="1049" t="s">
        <v>1</v>
      </c>
      <c r="AW1" s="1048"/>
      <c r="AX1" s="1046" t="s">
        <v>170</v>
      </c>
      <c r="AY1" s="1045"/>
      <c r="AZ1" s="1047" t="s">
        <v>2</v>
      </c>
      <c r="BA1" s="1048"/>
    </row>
    <row r="2" spans="1:53" s="851" customFormat="1" ht="54.75" customHeight="1" thickBot="1" x14ac:dyDescent="0.35">
      <c r="A2" s="848" t="s">
        <v>0</v>
      </c>
      <c r="B2" s="849" t="s">
        <v>369</v>
      </c>
      <c r="C2" s="849" t="s">
        <v>356</v>
      </c>
      <c r="D2" s="849" t="s">
        <v>369</v>
      </c>
      <c r="E2" s="850" t="s">
        <v>356</v>
      </c>
      <c r="F2" s="1005" t="s">
        <v>369</v>
      </c>
      <c r="G2" s="850" t="s">
        <v>356</v>
      </c>
      <c r="H2" s="1005" t="s">
        <v>369</v>
      </c>
      <c r="I2" s="850" t="s">
        <v>356</v>
      </c>
      <c r="J2" s="1005" t="s">
        <v>369</v>
      </c>
      <c r="K2" s="850" t="s">
        <v>356</v>
      </c>
      <c r="L2" s="849" t="s">
        <v>369</v>
      </c>
      <c r="M2" s="850" t="s">
        <v>356</v>
      </c>
      <c r="N2" s="849" t="s">
        <v>369</v>
      </c>
      <c r="O2" s="850" t="s">
        <v>356</v>
      </c>
      <c r="P2" s="1005" t="s">
        <v>369</v>
      </c>
      <c r="Q2" s="850" t="s">
        <v>356</v>
      </c>
      <c r="R2" s="1005" t="s">
        <v>369</v>
      </c>
      <c r="S2" s="850" t="s">
        <v>356</v>
      </c>
      <c r="T2" s="1005" t="s">
        <v>369</v>
      </c>
      <c r="U2" s="850" t="s">
        <v>356</v>
      </c>
      <c r="V2" s="1005" t="s">
        <v>369</v>
      </c>
      <c r="W2" s="850" t="s">
        <v>356</v>
      </c>
      <c r="X2" s="1005" t="s">
        <v>369</v>
      </c>
      <c r="Y2" s="850" t="s">
        <v>356</v>
      </c>
      <c r="Z2" s="1005" t="s">
        <v>369</v>
      </c>
      <c r="AA2" s="850" t="s">
        <v>356</v>
      </c>
      <c r="AB2" s="1005" t="s">
        <v>369</v>
      </c>
      <c r="AC2" s="850" t="s">
        <v>356</v>
      </c>
      <c r="AD2" s="1005" t="s">
        <v>369</v>
      </c>
      <c r="AE2" s="850" t="s">
        <v>356</v>
      </c>
      <c r="AF2" s="1005" t="s">
        <v>369</v>
      </c>
      <c r="AG2" s="850" t="s">
        <v>356</v>
      </c>
      <c r="AH2" s="1005" t="s">
        <v>369</v>
      </c>
      <c r="AI2" s="850" t="s">
        <v>356</v>
      </c>
      <c r="AJ2" s="1005" t="s">
        <v>369</v>
      </c>
      <c r="AK2" s="850" t="s">
        <v>356</v>
      </c>
      <c r="AL2" s="1005" t="s">
        <v>369</v>
      </c>
      <c r="AM2" s="850" t="s">
        <v>356</v>
      </c>
      <c r="AN2" s="1005" t="s">
        <v>369</v>
      </c>
      <c r="AO2" s="850" t="s">
        <v>356</v>
      </c>
      <c r="AP2" s="1005" t="s">
        <v>369</v>
      </c>
      <c r="AQ2" s="850" t="s">
        <v>356</v>
      </c>
      <c r="AR2" s="1005" t="s">
        <v>369</v>
      </c>
      <c r="AS2" s="850" t="s">
        <v>356</v>
      </c>
      <c r="AT2" s="1005" t="s">
        <v>369</v>
      </c>
      <c r="AU2" s="850" t="s">
        <v>356</v>
      </c>
      <c r="AV2" s="849" t="s">
        <v>369</v>
      </c>
      <c r="AW2" s="850" t="s">
        <v>356</v>
      </c>
      <c r="AX2" s="849" t="s">
        <v>369</v>
      </c>
      <c r="AY2" s="850" t="s">
        <v>356</v>
      </c>
      <c r="AZ2" s="849" t="s">
        <v>369</v>
      </c>
      <c r="BA2" s="850" t="s">
        <v>356</v>
      </c>
    </row>
    <row r="3" spans="1:53" x14ac:dyDescent="0.3">
      <c r="A3" s="831" t="s">
        <v>265</v>
      </c>
      <c r="B3" s="832"/>
      <c r="C3" s="833"/>
      <c r="D3" s="834"/>
      <c r="E3" s="835"/>
      <c r="F3" s="832"/>
      <c r="G3" s="835"/>
      <c r="H3" s="832"/>
      <c r="I3" s="835"/>
      <c r="J3" s="832"/>
      <c r="K3" s="835"/>
      <c r="L3" s="834"/>
      <c r="M3" s="835"/>
      <c r="N3" s="832"/>
      <c r="O3" s="835"/>
      <c r="P3" s="832"/>
      <c r="Q3" s="835"/>
      <c r="R3" s="832"/>
      <c r="S3" s="835"/>
      <c r="T3" s="832"/>
      <c r="U3" s="835"/>
      <c r="V3" s="832"/>
      <c r="W3" s="835"/>
      <c r="X3" s="832"/>
      <c r="Y3" s="835"/>
      <c r="Z3" s="832"/>
      <c r="AA3" s="835"/>
      <c r="AB3" s="832"/>
      <c r="AC3" s="835"/>
      <c r="AD3" s="832"/>
      <c r="AE3" s="835"/>
      <c r="AF3" s="832"/>
      <c r="AG3" s="835"/>
      <c r="AH3" s="832"/>
      <c r="AI3" s="835"/>
      <c r="AJ3" s="832"/>
      <c r="AK3" s="835"/>
      <c r="AL3" s="832"/>
      <c r="AM3" s="835"/>
      <c r="AN3" s="832"/>
      <c r="AO3" s="835"/>
      <c r="AP3" s="832"/>
      <c r="AQ3" s="835"/>
      <c r="AR3" s="832"/>
      <c r="AS3" s="835"/>
      <c r="AT3" s="832"/>
      <c r="AU3" s="835"/>
      <c r="AV3" s="834"/>
      <c r="AW3" s="835"/>
      <c r="AX3" s="834"/>
      <c r="AY3" s="835"/>
      <c r="AZ3" s="834"/>
      <c r="BA3" s="835"/>
    </row>
    <row r="4" spans="1:53" x14ac:dyDescent="0.3">
      <c r="A4" s="62" t="s">
        <v>266</v>
      </c>
      <c r="B4" s="293"/>
      <c r="C4" s="836"/>
      <c r="D4" s="837"/>
      <c r="E4" s="289"/>
      <c r="F4" s="293"/>
      <c r="G4" s="289"/>
      <c r="H4" s="293"/>
      <c r="I4" s="289"/>
      <c r="J4" s="293"/>
      <c r="K4" s="289"/>
      <c r="L4" s="837"/>
      <c r="M4" s="289"/>
      <c r="N4" s="293"/>
      <c r="O4" s="289"/>
      <c r="P4" s="293"/>
      <c r="Q4" s="289"/>
      <c r="R4" s="293"/>
      <c r="S4" s="289"/>
      <c r="T4" s="293"/>
      <c r="U4" s="289"/>
      <c r="V4" s="293"/>
      <c r="W4" s="289"/>
      <c r="X4" s="293"/>
      <c r="Y4" s="289"/>
      <c r="Z4" s="293"/>
      <c r="AA4" s="289"/>
      <c r="AB4" s="293"/>
      <c r="AC4" s="289"/>
      <c r="AD4" s="293"/>
      <c r="AE4" s="289"/>
      <c r="AF4" s="293"/>
      <c r="AG4" s="289"/>
      <c r="AH4" s="293"/>
      <c r="AI4" s="289"/>
      <c r="AJ4" s="293"/>
      <c r="AK4" s="289"/>
      <c r="AL4" s="293"/>
      <c r="AM4" s="289"/>
      <c r="AN4" s="293"/>
      <c r="AO4" s="289"/>
      <c r="AP4" s="293"/>
      <c r="AQ4" s="289"/>
      <c r="AR4" s="293"/>
      <c r="AS4" s="289"/>
      <c r="AT4" s="293"/>
      <c r="AU4" s="289"/>
      <c r="AV4" s="837"/>
      <c r="AW4" s="289"/>
      <c r="AX4" s="837"/>
      <c r="AY4" s="289"/>
      <c r="AZ4" s="837"/>
      <c r="BA4" s="289"/>
    </row>
    <row r="5" spans="1:53" x14ac:dyDescent="0.3">
      <c r="A5" s="62" t="s">
        <v>267</v>
      </c>
      <c r="B5" s="838">
        <v>190121</v>
      </c>
      <c r="C5" s="838">
        <v>190121</v>
      </c>
      <c r="D5" s="304">
        <v>147773</v>
      </c>
      <c r="E5" s="289">
        <v>147164</v>
      </c>
      <c r="F5" s="293">
        <v>200490</v>
      </c>
      <c r="G5" s="289">
        <v>200490</v>
      </c>
      <c r="H5" s="291">
        <v>15071</v>
      </c>
      <c r="I5" s="289">
        <v>15071</v>
      </c>
      <c r="J5" s="291">
        <v>362620</v>
      </c>
      <c r="K5" s="289">
        <v>333120</v>
      </c>
      <c r="L5" s="292">
        <v>95000</v>
      </c>
      <c r="M5" s="289">
        <v>95000</v>
      </c>
      <c r="N5" s="287">
        <v>37406</v>
      </c>
      <c r="O5" s="289">
        <v>37406</v>
      </c>
      <c r="P5" s="287">
        <v>91555</v>
      </c>
      <c r="Q5" s="289">
        <v>46555</v>
      </c>
      <c r="R5" s="287"/>
      <c r="S5" s="289">
        <v>185000</v>
      </c>
      <c r="T5" s="287">
        <v>229582</v>
      </c>
      <c r="U5" s="289">
        <v>196582</v>
      </c>
      <c r="V5" s="287">
        <v>214910</v>
      </c>
      <c r="W5" s="289">
        <v>202313</v>
      </c>
      <c r="X5" s="291">
        <v>143855</v>
      </c>
      <c r="Y5" s="289">
        <v>143712</v>
      </c>
      <c r="Z5" s="291">
        <v>80000</v>
      </c>
      <c r="AA5" s="289">
        <v>80000</v>
      </c>
      <c r="AB5" s="287">
        <v>75437</v>
      </c>
      <c r="AC5" s="289">
        <v>66346</v>
      </c>
      <c r="AD5" s="291">
        <v>51029</v>
      </c>
      <c r="AE5" s="289">
        <v>51029</v>
      </c>
      <c r="AF5" s="291">
        <v>191881</v>
      </c>
      <c r="AG5" s="289">
        <v>191881</v>
      </c>
      <c r="AH5" s="287">
        <v>201288</v>
      </c>
      <c r="AI5" s="289">
        <v>201288</v>
      </c>
      <c r="AJ5" s="291">
        <v>119632</v>
      </c>
      <c r="AK5" s="289">
        <v>119632</v>
      </c>
      <c r="AL5" s="293"/>
      <c r="AM5" s="289"/>
      <c r="AN5" s="293">
        <v>100071</v>
      </c>
      <c r="AO5" s="292">
        <v>100021</v>
      </c>
      <c r="AP5" s="291">
        <v>17771.560000000001</v>
      </c>
      <c r="AQ5" s="289">
        <v>17747</v>
      </c>
      <c r="AR5" s="291">
        <v>25896</v>
      </c>
      <c r="AS5" s="289">
        <v>25896</v>
      </c>
      <c r="AT5" s="291">
        <v>195350</v>
      </c>
      <c r="AU5" s="289">
        <v>195350</v>
      </c>
      <c r="AV5" s="837">
        <f t="shared" ref="AV5:AW67" si="0">B5+D5+F5+H5+J5+L5+N5+P5+R5+T5+V5+X5+Z5+AB5+AD5+AF5+AH5+AJ5+AL5+AN5+AP5+AR5+AT5</f>
        <v>2786738.56</v>
      </c>
      <c r="AW5" s="289">
        <f t="shared" si="0"/>
        <v>2841724</v>
      </c>
      <c r="AX5" s="837">
        <v>632499.77</v>
      </c>
      <c r="AY5" s="289">
        <f>AX5</f>
        <v>632499.77</v>
      </c>
      <c r="AZ5" s="837">
        <f>AV5+AX5</f>
        <v>3419238.33</v>
      </c>
      <c r="BA5" s="289">
        <f>AW5+AY5</f>
        <v>3474223.77</v>
      </c>
    </row>
    <row r="6" spans="1:53" x14ac:dyDescent="0.3">
      <c r="A6" s="62" t="s">
        <v>268</v>
      </c>
      <c r="B6" s="838"/>
      <c r="C6" s="838"/>
      <c r="D6" s="304"/>
      <c r="E6" s="289"/>
      <c r="F6" s="293"/>
      <c r="G6" s="289"/>
      <c r="H6" s="291"/>
      <c r="I6" s="289"/>
      <c r="J6" s="291"/>
      <c r="K6" s="289"/>
      <c r="L6" s="292"/>
      <c r="M6" s="289"/>
      <c r="N6" s="287"/>
      <c r="O6" s="289"/>
      <c r="P6" s="287"/>
      <c r="Q6" s="289"/>
      <c r="R6" s="287"/>
      <c r="S6" s="289"/>
      <c r="T6" s="287">
        <v>10000</v>
      </c>
      <c r="U6" s="289">
        <v>10000</v>
      </c>
      <c r="V6" s="287">
        <v>6</v>
      </c>
      <c r="W6" s="289">
        <v>399</v>
      </c>
      <c r="X6" s="291"/>
      <c r="Y6" s="289">
        <v>5</v>
      </c>
      <c r="Z6" s="291"/>
      <c r="AA6" s="289"/>
      <c r="AB6" s="287"/>
      <c r="AC6" s="289"/>
      <c r="AD6" s="291"/>
      <c r="AE6" s="289"/>
      <c r="AF6" s="291"/>
      <c r="AG6" s="289"/>
      <c r="AH6" s="287"/>
      <c r="AI6" s="289"/>
      <c r="AJ6" s="291"/>
      <c r="AK6" s="289"/>
      <c r="AL6" s="293"/>
      <c r="AM6" s="289"/>
      <c r="AN6" s="293"/>
      <c r="AO6" s="292"/>
      <c r="AP6" s="291"/>
      <c r="AQ6" s="289"/>
      <c r="AR6" s="291"/>
      <c r="AS6" s="289"/>
      <c r="AT6" s="291"/>
      <c r="AU6" s="289"/>
      <c r="AV6" s="837">
        <f t="shared" si="0"/>
        <v>10006</v>
      </c>
      <c r="AW6" s="289">
        <f t="shared" si="0"/>
        <v>10404</v>
      </c>
      <c r="AX6" s="837"/>
      <c r="AY6" s="289"/>
      <c r="AZ6" s="837">
        <f t="shared" ref="AZ6:BA67" si="1">AV6+AX6</f>
        <v>10006</v>
      </c>
      <c r="BA6" s="289">
        <f t="shared" si="1"/>
        <v>10404</v>
      </c>
    </row>
    <row r="7" spans="1:53" x14ac:dyDescent="0.3">
      <c r="A7" s="62" t="s">
        <v>269</v>
      </c>
      <c r="B7" s="838">
        <v>65006</v>
      </c>
      <c r="C7" s="838">
        <v>51263</v>
      </c>
      <c r="D7" s="304">
        <v>135593</v>
      </c>
      <c r="E7" s="289">
        <v>106061</v>
      </c>
      <c r="F7" s="293"/>
      <c r="G7" s="289"/>
      <c r="H7" s="291">
        <v>1034450</v>
      </c>
      <c r="I7" s="289">
        <v>1037569</v>
      </c>
      <c r="J7" s="291">
        <v>21196</v>
      </c>
      <c r="K7" s="289">
        <v>21666</v>
      </c>
      <c r="L7" s="292">
        <v>26520</v>
      </c>
      <c r="M7" s="289">
        <v>15815</v>
      </c>
      <c r="N7" s="287">
        <v>83292</v>
      </c>
      <c r="O7" s="289">
        <v>83292</v>
      </c>
      <c r="P7" s="287">
        <v>171389</v>
      </c>
      <c r="Q7" s="289">
        <v>171192</v>
      </c>
      <c r="R7" s="287"/>
      <c r="S7" s="289"/>
      <c r="T7" s="287"/>
      <c r="U7" s="289"/>
      <c r="V7" s="287">
        <v>1559719</v>
      </c>
      <c r="W7" s="289">
        <v>666240</v>
      </c>
      <c r="X7" s="291">
        <v>791056</v>
      </c>
      <c r="Y7" s="289">
        <v>707248</v>
      </c>
      <c r="Z7" s="291">
        <v>21939</v>
      </c>
      <c r="AA7" s="289">
        <v>15315</v>
      </c>
      <c r="AB7" s="287">
        <v>68909</v>
      </c>
      <c r="AC7" s="289">
        <v>28000</v>
      </c>
      <c r="AD7" s="291">
        <v>428219</v>
      </c>
      <c r="AE7" s="289">
        <v>328151</v>
      </c>
      <c r="AF7" s="291">
        <v>135084</v>
      </c>
      <c r="AG7" s="289">
        <v>103124</v>
      </c>
      <c r="AH7" s="287">
        <v>428</v>
      </c>
      <c r="AI7" s="289">
        <v>436</v>
      </c>
      <c r="AJ7" s="291">
        <v>30316</v>
      </c>
      <c r="AK7" s="289">
        <v>30316</v>
      </c>
      <c r="AL7" s="293"/>
      <c r="AM7" s="289"/>
      <c r="AN7" s="293">
        <v>1108007</v>
      </c>
      <c r="AO7" s="292">
        <v>957145</v>
      </c>
      <c r="AP7" s="291">
        <v>52839.54</v>
      </c>
      <c r="AQ7" s="289">
        <v>45699</v>
      </c>
      <c r="AR7" s="291">
        <v>53348</v>
      </c>
      <c r="AS7" s="289">
        <v>37799</v>
      </c>
      <c r="AT7" s="291">
        <v>49543</v>
      </c>
      <c r="AU7" s="289">
        <v>13940</v>
      </c>
      <c r="AV7" s="837">
        <f t="shared" si="0"/>
        <v>5836853.54</v>
      </c>
      <c r="AW7" s="289">
        <f t="shared" si="0"/>
        <v>4420271</v>
      </c>
      <c r="AX7" s="837">
        <v>1972951.57</v>
      </c>
      <c r="AY7" s="289">
        <v>143658.09</v>
      </c>
      <c r="AZ7" s="837">
        <f t="shared" si="1"/>
        <v>7809805.1100000003</v>
      </c>
      <c r="BA7" s="289">
        <f t="shared" si="1"/>
        <v>4563929.09</v>
      </c>
    </row>
    <row r="8" spans="1:53" x14ac:dyDescent="0.3">
      <c r="A8" s="62" t="s">
        <v>270</v>
      </c>
      <c r="B8" s="838">
        <v>4570</v>
      </c>
      <c r="C8" s="838">
        <v>4117</v>
      </c>
      <c r="D8" s="304"/>
      <c r="E8" s="289"/>
      <c r="F8" s="293"/>
      <c r="G8" s="289"/>
      <c r="H8" s="291">
        <v>17106</v>
      </c>
      <c r="I8" s="289">
        <v>54537</v>
      </c>
      <c r="J8" s="291">
        <v>235</v>
      </c>
      <c r="K8" s="289">
        <v>447</v>
      </c>
      <c r="L8" s="292"/>
      <c r="M8" s="289">
        <v>-70</v>
      </c>
      <c r="N8" s="287">
        <v>541</v>
      </c>
      <c r="O8" s="289">
        <v>623</v>
      </c>
      <c r="P8" s="287">
        <v>1531</v>
      </c>
      <c r="Q8" s="289">
        <v>746</v>
      </c>
      <c r="R8" s="287"/>
      <c r="S8" s="289">
        <v>1</v>
      </c>
      <c r="T8" s="287">
        <v>34</v>
      </c>
      <c r="U8" s="289">
        <v>-2</v>
      </c>
      <c r="V8" s="287">
        <v>6483</v>
      </c>
      <c r="W8" s="289">
        <v>22715</v>
      </c>
      <c r="X8" s="291">
        <v>27685</v>
      </c>
      <c r="Y8" s="289">
        <v>23676</v>
      </c>
      <c r="Z8" s="291">
        <v>389</v>
      </c>
      <c r="AA8" s="289">
        <v>568</v>
      </c>
      <c r="AB8" s="287"/>
      <c r="AC8" s="289">
        <v>93.74</v>
      </c>
      <c r="AD8" s="291">
        <v>29</v>
      </c>
      <c r="AE8" s="289">
        <v>-19</v>
      </c>
      <c r="AF8" s="291">
        <v>234</v>
      </c>
      <c r="AG8" s="289">
        <v>1185</v>
      </c>
      <c r="AH8" s="287">
        <v>806</v>
      </c>
      <c r="AI8" s="289">
        <v>546</v>
      </c>
      <c r="AJ8" s="291">
        <v>2735</v>
      </c>
      <c r="AK8" s="289">
        <v>3741</v>
      </c>
      <c r="AL8" s="293"/>
      <c r="AM8" s="289"/>
      <c r="AN8" s="293">
        <v>13527</v>
      </c>
      <c r="AO8" s="292">
        <v>33518</v>
      </c>
      <c r="AP8" s="291">
        <v>804.78</v>
      </c>
      <c r="AQ8" s="289">
        <v>2150</v>
      </c>
      <c r="AR8" s="291">
        <v>229</v>
      </c>
      <c r="AS8" s="289">
        <v>50</v>
      </c>
      <c r="AT8" s="291"/>
      <c r="AU8" s="289"/>
      <c r="AV8" s="837">
        <f t="shared" si="0"/>
        <v>76938.78</v>
      </c>
      <c r="AW8" s="289">
        <f t="shared" si="0"/>
        <v>148622.74</v>
      </c>
      <c r="AX8" s="837">
        <v>1543.32</v>
      </c>
      <c r="AY8" s="289">
        <v>5743.55</v>
      </c>
      <c r="AZ8" s="837">
        <f t="shared" si="1"/>
        <v>78482.100000000006</v>
      </c>
      <c r="BA8" s="289">
        <f t="shared" si="1"/>
        <v>154366.28999999998</v>
      </c>
    </row>
    <row r="9" spans="1:53" x14ac:dyDescent="0.3">
      <c r="A9" s="62" t="s">
        <v>271</v>
      </c>
      <c r="B9" s="838"/>
      <c r="C9" s="838"/>
      <c r="D9" s="304"/>
      <c r="E9" s="289"/>
      <c r="F9" s="293"/>
      <c r="G9" s="289"/>
      <c r="H9" s="291"/>
      <c r="I9" s="289"/>
      <c r="J9" s="291"/>
      <c r="K9" s="289"/>
      <c r="L9" s="292"/>
      <c r="M9" s="289"/>
      <c r="N9" s="287"/>
      <c r="O9" s="289"/>
      <c r="P9" s="287"/>
      <c r="Q9" s="289"/>
      <c r="R9" s="287"/>
      <c r="S9" s="289"/>
      <c r="T9" s="287"/>
      <c r="U9" s="289"/>
      <c r="V9" s="287"/>
      <c r="W9" s="289"/>
      <c r="X9" s="291"/>
      <c r="Y9" s="289"/>
      <c r="Z9" s="291"/>
      <c r="AA9" s="287"/>
      <c r="AB9" s="287"/>
      <c r="AC9" s="289"/>
      <c r="AD9" s="291"/>
      <c r="AE9" s="289"/>
      <c r="AF9" s="291"/>
      <c r="AG9" s="289"/>
      <c r="AH9" s="287"/>
      <c r="AI9" s="289"/>
      <c r="AJ9" s="291"/>
      <c r="AK9" s="289"/>
      <c r="AL9" s="293"/>
      <c r="AM9" s="289"/>
      <c r="AN9" s="291"/>
      <c r="AO9" s="289"/>
      <c r="AP9" s="291"/>
      <c r="AQ9" s="289"/>
      <c r="AR9" s="291"/>
      <c r="AS9" s="289"/>
      <c r="AT9" s="291"/>
      <c r="AU9" s="289"/>
      <c r="AV9" s="837"/>
      <c r="AW9" s="289"/>
      <c r="AX9" s="837"/>
      <c r="AY9" s="289"/>
      <c r="AZ9" s="837"/>
      <c r="BA9" s="289"/>
    </row>
    <row r="10" spans="1:53" s="588" customFormat="1" ht="18" x14ac:dyDescent="0.35">
      <c r="A10" s="970" t="s">
        <v>272</v>
      </c>
      <c r="B10" s="971">
        <f t="shared" ref="B10" si="2">SUM(B5:B8)</f>
        <v>259697</v>
      </c>
      <c r="C10" s="971">
        <f t="shared" ref="C10:W10" si="3">SUM(C5:C8)</f>
        <v>245501</v>
      </c>
      <c r="D10" s="984">
        <f t="shared" ref="D10" si="4">SUM(D5:D8)</f>
        <v>283366</v>
      </c>
      <c r="E10" s="975">
        <f t="shared" si="3"/>
        <v>253225</v>
      </c>
      <c r="F10" s="1006">
        <f t="shared" si="3"/>
        <v>200490</v>
      </c>
      <c r="G10" s="975">
        <f t="shared" si="3"/>
        <v>200490</v>
      </c>
      <c r="H10" s="979">
        <f t="shared" ref="H10" si="5">SUM(H5:H8)</f>
        <v>1066627</v>
      </c>
      <c r="I10" s="975">
        <f t="shared" si="3"/>
        <v>1107177</v>
      </c>
      <c r="J10" s="979">
        <f t="shared" ref="J10" si="6">SUM(J5:J8)</f>
        <v>384051</v>
      </c>
      <c r="K10" s="975">
        <f t="shared" si="3"/>
        <v>355233</v>
      </c>
      <c r="L10" s="982">
        <f t="shared" ref="L10" si="7">SUM(L5:L8)</f>
        <v>121520</v>
      </c>
      <c r="M10" s="975">
        <f t="shared" si="3"/>
        <v>110745</v>
      </c>
      <c r="N10" s="977">
        <f t="shared" ref="N10" si="8">SUM(N5:N8)</f>
        <v>121239</v>
      </c>
      <c r="O10" s="975">
        <f t="shared" si="3"/>
        <v>121321</v>
      </c>
      <c r="P10" s="977">
        <f t="shared" ref="P10" si="9">SUM(P5:P8)</f>
        <v>264475</v>
      </c>
      <c r="Q10" s="975">
        <f t="shared" si="3"/>
        <v>218493</v>
      </c>
      <c r="R10" s="977">
        <f t="shared" ref="R10" si="10">SUM(R5:R8)</f>
        <v>0</v>
      </c>
      <c r="S10" s="975">
        <f t="shared" si="3"/>
        <v>185001</v>
      </c>
      <c r="T10" s="977">
        <f t="shared" ref="T10" si="11">SUM(T5:T8)</f>
        <v>239616</v>
      </c>
      <c r="U10" s="975">
        <f t="shared" si="3"/>
        <v>206580</v>
      </c>
      <c r="V10" s="977">
        <f t="shared" ref="V10" si="12">SUM(V5:V8)</f>
        <v>1781118</v>
      </c>
      <c r="W10" s="975">
        <f t="shared" si="3"/>
        <v>891667</v>
      </c>
      <c r="X10" s="979">
        <f>SUM(X5:X9)</f>
        <v>962596</v>
      </c>
      <c r="Y10" s="975">
        <f>SUM(Y5:Y9)</f>
        <v>874641</v>
      </c>
      <c r="Z10" s="979">
        <f t="shared" ref="Z10" si="13">SUM(Z5:Z9)</f>
        <v>102328</v>
      </c>
      <c r="AA10" s="975">
        <f t="shared" ref="AA10:AU10" si="14">SUM(AA5:AA9)</f>
        <v>95883</v>
      </c>
      <c r="AB10" s="979">
        <f t="shared" ref="AB10" si="15">SUM(AB5:AB9)</f>
        <v>144346</v>
      </c>
      <c r="AC10" s="975">
        <f t="shared" si="14"/>
        <v>94439.74</v>
      </c>
      <c r="AD10" s="979">
        <f t="shared" ref="AD10" si="16">SUM(AD5:AD9)</f>
        <v>479277</v>
      </c>
      <c r="AE10" s="975">
        <f t="shared" si="14"/>
        <v>379161</v>
      </c>
      <c r="AF10" s="979">
        <f t="shared" ref="AF10" si="17">SUM(AF5:AF9)</f>
        <v>327199</v>
      </c>
      <c r="AG10" s="975">
        <f t="shared" si="14"/>
        <v>296190</v>
      </c>
      <c r="AH10" s="979">
        <f t="shared" ref="AH10" si="18">SUM(AH5:AH9)</f>
        <v>202522</v>
      </c>
      <c r="AI10" s="975">
        <f t="shared" si="14"/>
        <v>202270</v>
      </c>
      <c r="AJ10" s="979">
        <f t="shared" ref="AJ10" si="19">SUM(AJ5:AJ9)</f>
        <v>152683</v>
      </c>
      <c r="AK10" s="975">
        <f t="shared" si="14"/>
        <v>153689</v>
      </c>
      <c r="AL10" s="979">
        <f t="shared" si="14"/>
        <v>0</v>
      </c>
      <c r="AM10" s="975">
        <f t="shared" si="14"/>
        <v>0</v>
      </c>
      <c r="AN10" s="979">
        <f t="shared" ref="AN10" si="20">SUM(AN5:AN9)</f>
        <v>1221605</v>
      </c>
      <c r="AO10" s="975">
        <f t="shared" si="14"/>
        <v>1090684</v>
      </c>
      <c r="AP10" s="979">
        <f t="shared" ref="AP10" si="21">SUM(AP5:AP9)</f>
        <v>71415.88</v>
      </c>
      <c r="AQ10" s="975">
        <f t="shared" si="14"/>
        <v>65596</v>
      </c>
      <c r="AR10" s="979">
        <f t="shared" ref="AR10" si="22">SUM(AR5:AR9)</f>
        <v>79473</v>
      </c>
      <c r="AS10" s="975">
        <f t="shared" si="14"/>
        <v>63745</v>
      </c>
      <c r="AT10" s="979">
        <f t="shared" ref="AT10" si="23">SUM(AT5:AT9)</f>
        <v>244893</v>
      </c>
      <c r="AU10" s="975">
        <f t="shared" si="14"/>
        <v>209290</v>
      </c>
      <c r="AV10" s="974">
        <f t="shared" si="0"/>
        <v>8710536.879999999</v>
      </c>
      <c r="AW10" s="976">
        <f t="shared" si="0"/>
        <v>7421021.7400000002</v>
      </c>
      <c r="AX10" s="972">
        <f>SUM(AX5:AX8)</f>
        <v>2606994.6599999997</v>
      </c>
      <c r="AY10" s="973">
        <f>SUM(AY5:AY8)</f>
        <v>781901.41</v>
      </c>
      <c r="AZ10" s="974">
        <f t="shared" si="1"/>
        <v>11317531.539999999</v>
      </c>
      <c r="BA10" s="976">
        <f t="shared" si="1"/>
        <v>8202923.1500000004</v>
      </c>
    </row>
    <row r="11" spans="1:53" x14ac:dyDescent="0.3">
      <c r="A11" s="62" t="s">
        <v>273</v>
      </c>
      <c r="B11" s="838">
        <v>50000</v>
      </c>
      <c r="C11" s="838">
        <v>34500</v>
      </c>
      <c r="D11" s="304">
        <v>7000</v>
      </c>
      <c r="E11" s="289">
        <v>7000</v>
      </c>
      <c r="F11" s="293"/>
      <c r="G11" s="289"/>
      <c r="H11" s="291"/>
      <c r="I11" s="289"/>
      <c r="J11" s="291">
        <v>6000</v>
      </c>
      <c r="K11" s="289">
        <v>6000</v>
      </c>
      <c r="L11" s="292"/>
      <c r="M11" s="289"/>
      <c r="N11" s="287"/>
      <c r="O11" s="289"/>
      <c r="P11" s="287"/>
      <c r="Q11" s="289"/>
      <c r="R11" s="287"/>
      <c r="S11" s="289"/>
      <c r="T11" s="287">
        <v>3000</v>
      </c>
      <c r="U11" s="289">
        <v>3000</v>
      </c>
      <c r="V11" s="287">
        <v>95000</v>
      </c>
      <c r="W11" s="289">
        <v>60000</v>
      </c>
      <c r="X11" s="291">
        <v>120000</v>
      </c>
      <c r="Y11" s="289">
        <v>120000</v>
      </c>
      <c r="Z11" s="291"/>
      <c r="AA11" s="289"/>
      <c r="AB11" s="287">
        <v>22500</v>
      </c>
      <c r="AC11" s="289">
        <v>10000</v>
      </c>
      <c r="AD11" s="291"/>
      <c r="AE11" s="289"/>
      <c r="AF11" s="291">
        <v>49600</v>
      </c>
      <c r="AG11" s="289">
        <v>49600</v>
      </c>
      <c r="AH11" s="287">
        <v>40000</v>
      </c>
      <c r="AI11" s="289"/>
      <c r="AJ11" s="291"/>
      <c r="AK11" s="289"/>
      <c r="AL11" s="293"/>
      <c r="AM11" s="289"/>
      <c r="AN11" s="291"/>
      <c r="AO11" s="289"/>
      <c r="AP11" s="291"/>
      <c r="AQ11" s="289"/>
      <c r="AR11" s="291">
        <v>12500</v>
      </c>
      <c r="AS11" s="289"/>
      <c r="AT11" s="291">
        <v>48800</v>
      </c>
      <c r="AU11" s="289"/>
      <c r="AV11" s="837">
        <f t="shared" si="0"/>
        <v>454400</v>
      </c>
      <c r="AW11" s="289">
        <f t="shared" si="0"/>
        <v>290100</v>
      </c>
      <c r="AX11" s="837"/>
      <c r="AY11" s="289"/>
      <c r="AZ11" s="837">
        <f t="shared" si="1"/>
        <v>454400</v>
      </c>
      <c r="BA11" s="289">
        <f t="shared" si="1"/>
        <v>290100</v>
      </c>
    </row>
    <row r="12" spans="1:53" x14ac:dyDescent="0.3">
      <c r="A12" s="839" t="s">
        <v>274</v>
      </c>
      <c r="B12" s="838"/>
      <c r="C12" s="838"/>
      <c r="D12" s="304"/>
      <c r="E12" s="289"/>
      <c r="F12" s="293"/>
      <c r="G12" s="289"/>
      <c r="H12" s="291"/>
      <c r="I12" s="289"/>
      <c r="J12" s="291"/>
      <c r="K12" s="289"/>
      <c r="L12" s="292"/>
      <c r="M12" s="289"/>
      <c r="N12" s="287"/>
      <c r="O12" s="289"/>
      <c r="P12" s="287"/>
      <c r="Q12" s="289"/>
      <c r="R12" s="287"/>
      <c r="S12" s="289">
        <v>17531</v>
      </c>
      <c r="T12" s="287"/>
      <c r="U12" s="289"/>
      <c r="V12" s="287"/>
      <c r="W12" s="289"/>
      <c r="X12" s="291"/>
      <c r="Y12" s="289"/>
      <c r="Z12" s="291"/>
      <c r="AA12" s="289"/>
      <c r="AB12" s="287"/>
      <c r="AC12" s="289"/>
      <c r="AD12" s="291"/>
      <c r="AE12" s="289"/>
      <c r="AF12" s="291"/>
      <c r="AG12" s="289"/>
      <c r="AH12" s="287"/>
      <c r="AI12" s="289"/>
      <c r="AJ12" s="291"/>
      <c r="AK12" s="289"/>
      <c r="AL12" s="293"/>
      <c r="AM12" s="289"/>
      <c r="AN12" s="291"/>
      <c r="AO12" s="289"/>
      <c r="AP12" s="291"/>
      <c r="AQ12" s="289"/>
      <c r="AR12" s="291"/>
      <c r="AS12" s="289"/>
      <c r="AT12" s="291"/>
      <c r="AU12" s="289"/>
      <c r="AV12" s="837">
        <f t="shared" si="0"/>
        <v>0</v>
      </c>
      <c r="AW12" s="289">
        <f t="shared" si="0"/>
        <v>17531</v>
      </c>
      <c r="AX12" s="837"/>
      <c r="AY12" s="289"/>
      <c r="AZ12" s="837">
        <f t="shared" si="1"/>
        <v>0</v>
      </c>
      <c r="BA12" s="289">
        <f t="shared" si="1"/>
        <v>17531</v>
      </c>
    </row>
    <row r="13" spans="1:53" x14ac:dyDescent="0.3">
      <c r="A13" s="62" t="s">
        <v>270</v>
      </c>
      <c r="B13" s="838">
        <v>24132</v>
      </c>
      <c r="C13" s="838">
        <v>28134</v>
      </c>
      <c r="D13" s="304">
        <v>-327</v>
      </c>
      <c r="E13" s="289">
        <v>196</v>
      </c>
      <c r="F13" s="293">
        <v>93</v>
      </c>
      <c r="G13" s="289">
        <v>118</v>
      </c>
      <c r="H13" s="291">
        <v>173733</v>
      </c>
      <c r="I13" s="289">
        <v>236691</v>
      </c>
      <c r="J13" s="291">
        <v>1433</v>
      </c>
      <c r="K13" s="289">
        <v>6122</v>
      </c>
      <c r="L13" s="292">
        <v>3077</v>
      </c>
      <c r="M13" s="289">
        <v>2818</v>
      </c>
      <c r="N13" s="287"/>
      <c r="O13" s="289">
        <v>65</v>
      </c>
      <c r="P13" s="287">
        <v>4737</v>
      </c>
      <c r="Q13" s="289">
        <v>5428</v>
      </c>
      <c r="R13" s="287"/>
      <c r="S13" s="289"/>
      <c r="T13" s="287">
        <v>187</v>
      </c>
      <c r="U13" s="289">
        <v>21</v>
      </c>
      <c r="V13" s="287">
        <v>189866</v>
      </c>
      <c r="W13" s="289">
        <v>300190</v>
      </c>
      <c r="X13" s="291">
        <v>285741</v>
      </c>
      <c r="Y13" s="289">
        <v>367594</v>
      </c>
      <c r="Z13" s="291">
        <v>3937</v>
      </c>
      <c r="AA13" s="289">
        <v>5074</v>
      </c>
      <c r="AB13" s="287">
        <v>-437</v>
      </c>
      <c r="AC13" s="289">
        <v>3158.85</v>
      </c>
      <c r="AD13" s="291">
        <v>16303</v>
      </c>
      <c r="AE13" s="289">
        <v>27515</v>
      </c>
      <c r="AF13" s="291">
        <v>76556</v>
      </c>
      <c r="AG13" s="289">
        <v>147975</v>
      </c>
      <c r="AH13" s="287">
        <v>24685</v>
      </c>
      <c r="AI13" s="289">
        <v>36412</v>
      </c>
      <c r="AJ13" s="291">
        <v>14619</v>
      </c>
      <c r="AK13" s="289">
        <v>18328</v>
      </c>
      <c r="AL13" s="293"/>
      <c r="AM13" s="289"/>
      <c r="AN13" s="291">
        <v>262486</v>
      </c>
      <c r="AO13" s="289">
        <v>371909</v>
      </c>
      <c r="AP13" s="291">
        <v>3981.97</v>
      </c>
      <c r="AQ13" s="289">
        <v>8386</v>
      </c>
      <c r="AR13" s="291">
        <v>2016</v>
      </c>
      <c r="AS13" s="289">
        <v>771</v>
      </c>
      <c r="AT13" s="291">
        <v>126592</v>
      </c>
      <c r="AU13" s="289">
        <v>157947</v>
      </c>
      <c r="AV13" s="837">
        <f t="shared" si="0"/>
        <v>1213410.97</v>
      </c>
      <c r="AW13" s="289">
        <f t="shared" si="0"/>
        <v>1724852.85</v>
      </c>
      <c r="AX13" s="837">
        <v>38541524.340000004</v>
      </c>
      <c r="AY13" s="289">
        <v>40782236.359999999</v>
      </c>
      <c r="AZ13" s="837">
        <f t="shared" si="1"/>
        <v>39754935.310000002</v>
      </c>
      <c r="BA13" s="289">
        <f t="shared" si="1"/>
        <v>42507089.210000001</v>
      </c>
    </row>
    <row r="14" spans="1:53" x14ac:dyDescent="0.3">
      <c r="A14" s="62" t="s">
        <v>275</v>
      </c>
      <c r="B14" s="838"/>
      <c r="C14" s="838"/>
      <c r="D14" s="304"/>
      <c r="E14" s="289"/>
      <c r="F14" s="293"/>
      <c r="G14" s="289"/>
      <c r="H14" s="291">
        <v>4058914</v>
      </c>
      <c r="I14" s="289">
        <v>3483909</v>
      </c>
      <c r="J14" s="291"/>
      <c r="K14" s="289"/>
      <c r="L14" s="292"/>
      <c r="M14" s="289"/>
      <c r="N14" s="287"/>
      <c r="O14" s="289"/>
      <c r="P14" s="287"/>
      <c r="Q14" s="289"/>
      <c r="R14" s="287"/>
      <c r="S14" s="289">
        <f>933529+2692+412588+22466+74274+107722</f>
        <v>1553271</v>
      </c>
      <c r="T14" s="287"/>
      <c r="U14" s="289"/>
      <c r="V14" s="287"/>
      <c r="W14" s="289"/>
      <c r="X14" s="291"/>
      <c r="Y14" s="289"/>
      <c r="Z14" s="291"/>
      <c r="AA14" s="289"/>
      <c r="AB14" s="287"/>
      <c r="AC14" s="289"/>
      <c r="AD14" s="291">
        <v>4974</v>
      </c>
      <c r="AE14" s="289">
        <v>4974</v>
      </c>
      <c r="AF14" s="291"/>
      <c r="AG14" s="289"/>
      <c r="AH14" s="287"/>
      <c r="AI14" s="289"/>
      <c r="AJ14" s="291"/>
      <c r="AK14" s="289"/>
      <c r="AL14" s="293"/>
      <c r="AM14" s="289"/>
      <c r="AN14" s="291"/>
      <c r="AO14" s="289"/>
      <c r="AP14" s="291"/>
      <c r="AQ14" s="289"/>
      <c r="AR14" s="291"/>
      <c r="AS14" s="289"/>
      <c r="AT14" s="291"/>
      <c r="AU14" s="289"/>
      <c r="AV14" s="837">
        <f t="shared" si="0"/>
        <v>4063888</v>
      </c>
      <c r="AW14" s="289">
        <f t="shared" si="0"/>
        <v>5042154</v>
      </c>
      <c r="AX14" s="837"/>
      <c r="AY14" s="289"/>
      <c r="AZ14" s="837">
        <f t="shared" si="1"/>
        <v>4063888</v>
      </c>
      <c r="BA14" s="289">
        <f t="shared" si="1"/>
        <v>5042154</v>
      </c>
    </row>
    <row r="15" spans="1:53" x14ac:dyDescent="0.3">
      <c r="A15" s="62" t="s">
        <v>276</v>
      </c>
      <c r="B15" s="838">
        <v>3182769</v>
      </c>
      <c r="C15" s="838">
        <v>2778507</v>
      </c>
      <c r="D15" s="304">
        <v>233544</v>
      </c>
      <c r="E15" s="289">
        <v>191361</v>
      </c>
      <c r="F15" s="293"/>
      <c r="G15" s="289"/>
      <c r="H15" s="291"/>
      <c r="I15" s="289"/>
      <c r="J15" s="291">
        <v>971313</v>
      </c>
      <c r="K15" s="289">
        <v>801169</v>
      </c>
      <c r="L15" s="292"/>
      <c r="M15" s="289"/>
      <c r="N15" s="287">
        <v>539152</v>
      </c>
      <c r="O15" s="289">
        <v>465732</v>
      </c>
      <c r="P15" s="287">
        <v>386404</v>
      </c>
      <c r="Q15" s="289">
        <v>295345</v>
      </c>
      <c r="R15" s="287"/>
      <c r="S15" s="289"/>
      <c r="T15" s="287">
        <v>543844</v>
      </c>
      <c r="U15" s="289">
        <v>451163</v>
      </c>
      <c r="V15" s="287">
        <v>11026501</v>
      </c>
      <c r="W15" s="289">
        <v>9478832</v>
      </c>
      <c r="X15" s="291"/>
      <c r="Y15" s="289"/>
      <c r="Z15" s="291"/>
      <c r="AA15" s="289"/>
      <c r="AB15" s="287">
        <v>1120958</v>
      </c>
      <c r="AC15" s="289">
        <v>978295.94</v>
      </c>
      <c r="AD15" s="291">
        <v>2996429</v>
      </c>
      <c r="AE15" s="289">
        <v>2391272</v>
      </c>
      <c r="AF15" s="291">
        <v>7234880</v>
      </c>
      <c r="AG15" s="289">
        <v>6023667</v>
      </c>
      <c r="AH15" s="287">
        <v>2585756</v>
      </c>
      <c r="AI15" s="289">
        <v>2105301</v>
      </c>
      <c r="AJ15" s="291">
        <v>2028839</v>
      </c>
      <c r="AK15" s="289">
        <v>1772403</v>
      </c>
      <c r="AL15" s="293"/>
      <c r="AM15" s="289"/>
      <c r="AN15" s="291">
        <v>11940997</v>
      </c>
      <c r="AO15" s="289">
        <v>9936266</v>
      </c>
      <c r="AP15" s="291">
        <v>725956.42</v>
      </c>
      <c r="AQ15" s="289">
        <v>576645</v>
      </c>
      <c r="AR15" s="291">
        <v>1312508</v>
      </c>
      <c r="AS15" s="289">
        <v>990121</v>
      </c>
      <c r="AT15" s="291">
        <v>3694666</v>
      </c>
      <c r="AU15" s="289">
        <v>2921618</v>
      </c>
      <c r="AV15" s="837">
        <f t="shared" si="0"/>
        <v>50524516.420000002</v>
      </c>
      <c r="AW15" s="289">
        <f t="shared" si="0"/>
        <v>42157697.939999998</v>
      </c>
      <c r="AX15" s="837">
        <v>388323397.23000002</v>
      </c>
      <c r="AY15" s="289">
        <v>356700923.60000002</v>
      </c>
      <c r="AZ15" s="837">
        <f t="shared" si="1"/>
        <v>438847913.65000004</v>
      </c>
      <c r="BA15" s="289">
        <f t="shared" si="1"/>
        <v>398858621.54000002</v>
      </c>
    </row>
    <row r="16" spans="1:53" x14ac:dyDescent="0.3">
      <c r="A16" s="62" t="s">
        <v>277</v>
      </c>
      <c r="B16" s="838"/>
      <c r="C16" s="838"/>
      <c r="D16" s="304"/>
      <c r="E16" s="289"/>
      <c r="F16" s="293">
        <v>3605</v>
      </c>
      <c r="G16" s="289">
        <v>1816</v>
      </c>
      <c r="H16" s="291"/>
      <c r="I16" s="289"/>
      <c r="J16" s="291"/>
      <c r="K16" s="289"/>
      <c r="L16" s="292">
        <v>8224</v>
      </c>
      <c r="M16" s="289">
        <v>3294</v>
      </c>
      <c r="N16" s="287"/>
      <c r="O16" s="289"/>
      <c r="P16" s="287"/>
      <c r="Q16" s="289"/>
      <c r="R16" s="287"/>
      <c r="S16" s="289"/>
      <c r="T16" s="287"/>
      <c r="U16" s="289"/>
      <c r="V16" s="287"/>
      <c r="W16" s="289"/>
      <c r="X16" s="291"/>
      <c r="Y16" s="289"/>
      <c r="Z16" s="291"/>
      <c r="AA16" s="289"/>
      <c r="AB16" s="287"/>
      <c r="AC16" s="289"/>
      <c r="AD16" s="291"/>
      <c r="AE16" s="289"/>
      <c r="AF16" s="291"/>
      <c r="AG16" s="289"/>
      <c r="AH16" s="287"/>
      <c r="AI16" s="289"/>
      <c r="AJ16" s="291"/>
      <c r="AK16" s="289"/>
      <c r="AL16" s="293"/>
      <c r="AM16" s="289"/>
      <c r="AN16" s="291"/>
      <c r="AO16" s="289"/>
      <c r="AP16" s="291"/>
      <c r="AQ16" s="289"/>
      <c r="AR16" s="291"/>
      <c r="AS16" s="289"/>
      <c r="AT16" s="291"/>
      <c r="AU16" s="289"/>
      <c r="AV16" s="837">
        <f t="shared" si="0"/>
        <v>11829</v>
      </c>
      <c r="AW16" s="289">
        <f t="shared" si="0"/>
        <v>5110</v>
      </c>
      <c r="AX16" s="837"/>
      <c r="AY16" s="289"/>
      <c r="AZ16" s="837">
        <f t="shared" si="1"/>
        <v>11829</v>
      </c>
      <c r="BA16" s="289">
        <f t="shared" si="1"/>
        <v>5110</v>
      </c>
    </row>
    <row r="17" spans="1:53" x14ac:dyDescent="0.3">
      <c r="A17" s="839" t="s">
        <v>276</v>
      </c>
      <c r="B17" s="838"/>
      <c r="C17" s="838"/>
      <c r="D17" s="304"/>
      <c r="E17" s="289"/>
      <c r="F17" s="293"/>
      <c r="G17" s="289"/>
      <c r="H17" s="291"/>
      <c r="I17" s="289"/>
      <c r="J17" s="291"/>
      <c r="K17" s="289"/>
      <c r="L17" s="292">
        <f>4983+308+157466+596312+1572+386500+107015+509</f>
        <v>1254665</v>
      </c>
      <c r="M17" s="289">
        <f>7507+534+141663+462214+3924</f>
        <v>615842</v>
      </c>
      <c r="N17" s="287"/>
      <c r="O17" s="289"/>
      <c r="P17" s="287"/>
      <c r="Q17" s="289"/>
      <c r="R17" s="287"/>
      <c r="S17" s="289"/>
      <c r="T17" s="287"/>
      <c r="U17" s="289"/>
      <c r="V17" s="287"/>
      <c r="W17" s="289"/>
      <c r="X17" s="291">
        <v>8078486</v>
      </c>
      <c r="Y17" s="289">
        <v>6664693</v>
      </c>
      <c r="Z17" s="291">
        <v>929637</v>
      </c>
      <c r="AA17" s="289">
        <v>806478</v>
      </c>
      <c r="AB17" s="287"/>
      <c r="AC17" s="289"/>
      <c r="AD17" s="291"/>
      <c r="AE17" s="289"/>
      <c r="AF17" s="291"/>
      <c r="AG17" s="289"/>
      <c r="AH17" s="287"/>
      <c r="AI17" s="289"/>
      <c r="AJ17" s="291"/>
      <c r="AK17" s="289"/>
      <c r="AL17" s="293"/>
      <c r="AM17" s="289"/>
      <c r="AN17" s="291"/>
      <c r="AO17" s="289"/>
      <c r="AP17" s="291"/>
      <c r="AQ17" s="289"/>
      <c r="AR17" s="291"/>
      <c r="AS17" s="289"/>
      <c r="AT17" s="291"/>
      <c r="AU17" s="289"/>
      <c r="AV17" s="837">
        <f t="shared" si="0"/>
        <v>10262788</v>
      </c>
      <c r="AW17" s="289">
        <f t="shared" si="0"/>
        <v>8087013</v>
      </c>
      <c r="AX17" s="837"/>
      <c r="AY17" s="289"/>
      <c r="AZ17" s="837">
        <f t="shared" si="1"/>
        <v>10262788</v>
      </c>
      <c r="BA17" s="289">
        <f t="shared" si="1"/>
        <v>8087013</v>
      </c>
    </row>
    <row r="18" spans="1:53" x14ac:dyDescent="0.3">
      <c r="A18" s="62" t="s">
        <v>278</v>
      </c>
      <c r="B18" s="838"/>
      <c r="C18" s="838"/>
      <c r="D18" s="304"/>
      <c r="E18" s="289"/>
      <c r="F18" s="293">
        <f>3282+39</f>
        <v>3321</v>
      </c>
      <c r="G18" s="289">
        <f>3408+47</f>
        <v>3455</v>
      </c>
      <c r="H18" s="291"/>
      <c r="I18" s="289"/>
      <c r="J18" s="291"/>
      <c r="K18" s="289"/>
      <c r="L18" s="292"/>
      <c r="M18" s="289"/>
      <c r="N18" s="287"/>
      <c r="O18" s="289"/>
      <c r="P18" s="287"/>
      <c r="Q18" s="289"/>
      <c r="R18" s="287"/>
      <c r="S18" s="289"/>
      <c r="T18" s="287"/>
      <c r="U18" s="289"/>
      <c r="V18" s="287"/>
      <c r="W18" s="289"/>
      <c r="X18" s="291"/>
      <c r="Y18" s="289"/>
      <c r="Z18" s="291"/>
      <c r="AA18" s="289"/>
      <c r="AB18" s="287"/>
      <c r="AC18" s="289"/>
      <c r="AD18" s="291"/>
      <c r="AE18" s="289"/>
      <c r="AF18" s="291"/>
      <c r="AG18" s="289"/>
      <c r="AH18" s="287"/>
      <c r="AI18" s="289"/>
      <c r="AJ18" s="291"/>
      <c r="AK18" s="289"/>
      <c r="AL18" s="293"/>
      <c r="AM18" s="289"/>
      <c r="AN18" s="291"/>
      <c r="AO18" s="289"/>
      <c r="AP18" s="291"/>
      <c r="AQ18" s="289"/>
      <c r="AR18" s="291"/>
      <c r="AS18" s="289"/>
      <c r="AT18" s="291"/>
      <c r="AU18" s="289"/>
      <c r="AV18" s="837">
        <f t="shared" si="0"/>
        <v>3321</v>
      </c>
      <c r="AW18" s="289">
        <f t="shared" si="0"/>
        <v>3455</v>
      </c>
      <c r="AX18" s="837"/>
      <c r="AY18" s="289"/>
      <c r="AZ18" s="837">
        <f t="shared" si="1"/>
        <v>3321</v>
      </c>
      <c r="BA18" s="289">
        <f t="shared" si="1"/>
        <v>3455</v>
      </c>
    </row>
    <row r="19" spans="1:53" x14ac:dyDescent="0.3">
      <c r="A19" s="62" t="s">
        <v>279</v>
      </c>
      <c r="B19" s="838"/>
      <c r="C19" s="838"/>
      <c r="D19" s="304"/>
      <c r="E19" s="289"/>
      <c r="F19" s="293">
        <f>3064+88+732301+18595+6561+5+6874+364+2479</f>
        <v>770331</v>
      </c>
      <c r="G19" s="289">
        <f>2601+87+649007+18439+6347+306+5730+689+1713</f>
        <v>684919</v>
      </c>
      <c r="H19" s="291"/>
      <c r="I19" s="289"/>
      <c r="J19" s="291"/>
      <c r="K19" s="289"/>
      <c r="L19" s="292"/>
      <c r="M19" s="289"/>
      <c r="N19" s="287"/>
      <c r="O19" s="289"/>
      <c r="P19" s="287"/>
      <c r="Q19" s="289"/>
      <c r="R19" s="287"/>
      <c r="S19" s="289"/>
      <c r="T19" s="287"/>
      <c r="U19" s="289"/>
      <c r="V19" s="287"/>
      <c r="W19" s="289"/>
      <c r="X19" s="291"/>
      <c r="Y19" s="289"/>
      <c r="Z19" s="291"/>
      <c r="AA19" s="289"/>
      <c r="AB19" s="287"/>
      <c r="AC19" s="289"/>
      <c r="AD19" s="291"/>
      <c r="AE19" s="289"/>
      <c r="AF19" s="291"/>
      <c r="AG19" s="289"/>
      <c r="AH19" s="287"/>
      <c r="AI19" s="289"/>
      <c r="AJ19" s="291"/>
      <c r="AK19" s="289"/>
      <c r="AL19" s="293"/>
      <c r="AM19" s="289"/>
      <c r="AN19" s="291"/>
      <c r="AO19" s="289"/>
      <c r="AP19" s="291"/>
      <c r="AQ19" s="289"/>
      <c r="AR19" s="291"/>
      <c r="AS19" s="289"/>
      <c r="AT19" s="291"/>
      <c r="AU19" s="289"/>
      <c r="AV19" s="837">
        <f t="shared" si="0"/>
        <v>770331</v>
      </c>
      <c r="AW19" s="289">
        <f t="shared" si="0"/>
        <v>684919</v>
      </c>
      <c r="AX19" s="837"/>
      <c r="AY19" s="289"/>
      <c r="AZ19" s="837">
        <f t="shared" si="1"/>
        <v>770331</v>
      </c>
      <c r="BA19" s="289">
        <f t="shared" si="1"/>
        <v>684919</v>
      </c>
    </row>
    <row r="20" spans="1:53" x14ac:dyDescent="0.3">
      <c r="A20" s="839" t="s">
        <v>280</v>
      </c>
      <c r="B20" s="838"/>
      <c r="C20" s="838"/>
      <c r="D20" s="304"/>
      <c r="E20" s="289"/>
      <c r="F20" s="293"/>
      <c r="G20" s="289"/>
      <c r="H20" s="291"/>
      <c r="I20" s="289"/>
      <c r="J20" s="291"/>
      <c r="K20" s="289"/>
      <c r="L20" s="292"/>
      <c r="M20" s="289"/>
      <c r="N20" s="287"/>
      <c r="O20" s="289"/>
      <c r="P20" s="287"/>
      <c r="Q20" s="289"/>
      <c r="R20" s="287"/>
      <c r="S20" s="289"/>
      <c r="T20" s="287"/>
      <c r="U20" s="289"/>
      <c r="V20" s="287"/>
      <c r="W20" s="289"/>
      <c r="X20" s="291"/>
      <c r="Y20" s="289"/>
      <c r="Z20" s="291"/>
      <c r="AA20" s="289"/>
      <c r="AB20" s="287"/>
      <c r="AC20" s="289"/>
      <c r="AD20" s="291"/>
      <c r="AE20" s="289"/>
      <c r="AF20" s="291"/>
      <c r="AG20" s="289"/>
      <c r="AH20" s="287"/>
      <c r="AI20" s="289"/>
      <c r="AJ20" s="291"/>
      <c r="AK20" s="289"/>
      <c r="AL20" s="293"/>
      <c r="AM20" s="289"/>
      <c r="AN20" s="291"/>
      <c r="AO20" s="289"/>
      <c r="AP20" s="291"/>
      <c r="AQ20" s="289"/>
      <c r="AR20" s="291"/>
      <c r="AS20" s="289"/>
      <c r="AT20" s="291"/>
      <c r="AU20" s="289"/>
      <c r="AV20" s="837">
        <f t="shared" si="0"/>
        <v>0</v>
      </c>
      <c r="AW20" s="289">
        <f t="shared" si="0"/>
        <v>0</v>
      </c>
      <c r="AX20" s="837">
        <v>1285171.55</v>
      </c>
      <c r="AY20" s="289">
        <v>1292635.95</v>
      </c>
      <c r="AZ20" s="837">
        <f t="shared" si="1"/>
        <v>1285171.55</v>
      </c>
      <c r="BA20" s="289">
        <f t="shared" si="1"/>
        <v>1292635.95</v>
      </c>
    </row>
    <row r="21" spans="1:53" x14ac:dyDescent="0.3">
      <c r="A21" s="62" t="s">
        <v>281</v>
      </c>
      <c r="B21" s="838"/>
      <c r="C21" s="838"/>
      <c r="D21" s="304"/>
      <c r="E21" s="289"/>
      <c r="F21" s="293"/>
      <c r="G21" s="289"/>
      <c r="H21" s="291"/>
      <c r="I21" s="289"/>
      <c r="J21" s="291"/>
      <c r="K21" s="289"/>
      <c r="L21" s="292"/>
      <c r="M21" s="289"/>
      <c r="N21" s="287"/>
      <c r="O21" s="289"/>
      <c r="P21" s="287"/>
      <c r="Q21" s="289"/>
      <c r="R21" s="287"/>
      <c r="S21" s="289"/>
      <c r="T21" s="287"/>
      <c r="U21" s="289"/>
      <c r="V21" s="287"/>
      <c r="W21" s="289"/>
      <c r="X21" s="291"/>
      <c r="Y21" s="289"/>
      <c r="Z21" s="291"/>
      <c r="AA21" s="289"/>
      <c r="AB21" s="287"/>
      <c r="AC21" s="289"/>
      <c r="AD21" s="291"/>
      <c r="AE21" s="289"/>
      <c r="AF21" s="291"/>
      <c r="AG21" s="289"/>
      <c r="AH21" s="287"/>
      <c r="AI21" s="289"/>
      <c r="AJ21" s="291"/>
      <c r="AK21" s="289"/>
      <c r="AL21" s="293"/>
      <c r="AM21" s="289"/>
      <c r="AN21" s="291"/>
      <c r="AO21" s="289"/>
      <c r="AP21" s="291"/>
      <c r="AQ21" s="289"/>
      <c r="AR21" s="291"/>
      <c r="AS21" s="289"/>
      <c r="AT21" s="291"/>
      <c r="AU21" s="289"/>
      <c r="AV21" s="837">
        <f t="shared" si="0"/>
        <v>0</v>
      </c>
      <c r="AW21" s="289">
        <f t="shared" si="0"/>
        <v>0</v>
      </c>
      <c r="AX21" s="837"/>
      <c r="AY21" s="289"/>
      <c r="AZ21" s="837">
        <f t="shared" si="1"/>
        <v>0</v>
      </c>
      <c r="BA21" s="289">
        <f t="shared" si="1"/>
        <v>0</v>
      </c>
    </row>
    <row r="22" spans="1:53" x14ac:dyDescent="0.3">
      <c r="A22" s="62" t="s">
        <v>282</v>
      </c>
      <c r="B22" s="838"/>
      <c r="C22" s="838"/>
      <c r="D22" s="304"/>
      <c r="E22" s="289"/>
      <c r="F22" s="293"/>
      <c r="G22" s="289"/>
      <c r="H22" s="291"/>
      <c r="I22" s="289"/>
      <c r="J22" s="291"/>
      <c r="K22" s="289"/>
      <c r="L22" s="292"/>
      <c r="M22" s="289"/>
      <c r="N22" s="287"/>
      <c r="O22" s="289"/>
      <c r="P22" s="287"/>
      <c r="Q22" s="289"/>
      <c r="R22" s="287"/>
      <c r="S22" s="289">
        <v>53077</v>
      </c>
      <c r="T22" s="287"/>
      <c r="U22" s="289"/>
      <c r="V22" s="287"/>
      <c r="W22" s="289"/>
      <c r="X22" s="291"/>
      <c r="Y22" s="289"/>
      <c r="Z22" s="291"/>
      <c r="AA22" s="289"/>
      <c r="AB22" s="287"/>
      <c r="AC22" s="289"/>
      <c r="AD22" s="291"/>
      <c r="AE22" s="289"/>
      <c r="AF22" s="291"/>
      <c r="AG22" s="289"/>
      <c r="AH22" s="287"/>
      <c r="AI22" s="289"/>
      <c r="AJ22" s="291"/>
      <c r="AK22" s="289"/>
      <c r="AL22" s="293"/>
      <c r="AM22" s="289"/>
      <c r="AN22" s="291"/>
      <c r="AO22" s="289"/>
      <c r="AP22" s="291"/>
      <c r="AQ22" s="289"/>
      <c r="AR22" s="291"/>
      <c r="AS22" s="289"/>
      <c r="AT22" s="291"/>
      <c r="AU22" s="289"/>
      <c r="AV22" s="837">
        <f t="shared" si="0"/>
        <v>0</v>
      </c>
      <c r="AW22" s="289">
        <f t="shared" si="0"/>
        <v>53077</v>
      </c>
      <c r="AX22" s="837"/>
      <c r="AY22" s="289"/>
      <c r="AZ22" s="837">
        <f t="shared" si="1"/>
        <v>0</v>
      </c>
      <c r="BA22" s="289">
        <f t="shared" si="1"/>
        <v>53077</v>
      </c>
    </row>
    <row r="23" spans="1:53" x14ac:dyDescent="0.3">
      <c r="A23" s="839" t="s">
        <v>283</v>
      </c>
      <c r="B23" s="838">
        <v>2649631</v>
      </c>
      <c r="C23" s="838">
        <v>2486290</v>
      </c>
      <c r="D23" s="304">
        <v>91389</v>
      </c>
      <c r="E23" s="289">
        <v>96252</v>
      </c>
      <c r="F23" s="293">
        <f>4555+314+365566+28877+31465</f>
        <v>430777</v>
      </c>
      <c r="G23" s="289">
        <f>5330+314+292394+32938+31235</f>
        <v>362211</v>
      </c>
      <c r="H23" s="291">
        <v>2141558</v>
      </c>
      <c r="I23" s="289">
        <v>3115556</v>
      </c>
      <c r="J23" s="291">
        <v>169132</v>
      </c>
      <c r="K23" s="289">
        <v>164729</v>
      </c>
      <c r="L23" s="292">
        <f>1025346+12630</f>
        <v>1037976</v>
      </c>
      <c r="M23" s="289">
        <f>938650+9093</f>
        <v>947743</v>
      </c>
      <c r="N23" s="287">
        <v>33417</v>
      </c>
      <c r="O23" s="289">
        <v>37653</v>
      </c>
      <c r="P23" s="287">
        <v>141960</v>
      </c>
      <c r="Q23" s="289">
        <v>117573</v>
      </c>
      <c r="R23" s="287"/>
      <c r="S23" s="289">
        <v>171420</v>
      </c>
      <c r="T23" s="287">
        <v>52221</v>
      </c>
      <c r="U23" s="289">
        <v>56466</v>
      </c>
      <c r="V23" s="287">
        <v>7524251</v>
      </c>
      <c r="W23" s="289">
        <v>7897650</v>
      </c>
      <c r="X23" s="291">
        <v>13797852</v>
      </c>
      <c r="Y23" s="289">
        <v>14383271</v>
      </c>
      <c r="Z23" s="291">
        <v>388141</v>
      </c>
      <c r="AA23" s="289">
        <v>389850</v>
      </c>
      <c r="AB23" s="287">
        <v>683600</v>
      </c>
      <c r="AC23" s="289">
        <v>637075.04</v>
      </c>
      <c r="AD23" s="291">
        <v>2187426</v>
      </c>
      <c r="AE23" s="289">
        <v>2144975</v>
      </c>
      <c r="AF23" s="291">
        <v>2952360</v>
      </c>
      <c r="AG23" s="289">
        <v>2859211</v>
      </c>
      <c r="AH23" s="287">
        <v>690383</v>
      </c>
      <c r="AI23" s="289">
        <v>711417</v>
      </c>
      <c r="AJ23" s="291">
        <v>616068</v>
      </c>
      <c r="AK23" s="289">
        <v>634376</v>
      </c>
      <c r="AL23" s="293"/>
      <c r="AM23" s="289"/>
      <c r="AN23" s="291">
        <v>13959596</v>
      </c>
      <c r="AO23" s="289">
        <v>12175140</v>
      </c>
      <c r="AP23" s="291">
        <v>42517.85</v>
      </c>
      <c r="AQ23" s="289">
        <v>50238</v>
      </c>
      <c r="AR23" s="291">
        <v>233362</v>
      </c>
      <c r="AS23" s="289">
        <v>227852</v>
      </c>
      <c r="AT23" s="291">
        <v>1954474</v>
      </c>
      <c r="AU23" s="289">
        <v>1821712</v>
      </c>
      <c r="AV23" s="837">
        <f t="shared" si="0"/>
        <v>51778091.850000001</v>
      </c>
      <c r="AW23" s="289">
        <f t="shared" si="0"/>
        <v>51488660.039999999</v>
      </c>
      <c r="AX23" s="837">
        <v>2440898.75</v>
      </c>
      <c r="AY23" s="289">
        <v>2354562.86</v>
      </c>
      <c r="AZ23" s="837">
        <f t="shared" si="1"/>
        <v>54218990.600000001</v>
      </c>
      <c r="BA23" s="289">
        <f t="shared" si="1"/>
        <v>53843222.899999999</v>
      </c>
    </row>
    <row r="24" spans="1:53" x14ac:dyDescent="0.3">
      <c r="A24" s="62" t="s">
        <v>284</v>
      </c>
      <c r="B24" s="838"/>
      <c r="C24" s="838"/>
      <c r="D24" s="304"/>
      <c r="E24" s="289"/>
      <c r="F24" s="293"/>
      <c r="G24" s="289"/>
      <c r="H24" s="291"/>
      <c r="I24" s="289"/>
      <c r="J24" s="291"/>
      <c r="K24" s="289"/>
      <c r="L24" s="292">
        <v>170490</v>
      </c>
      <c r="M24" s="289">
        <v>291070</v>
      </c>
      <c r="N24" s="287"/>
      <c r="O24" s="289"/>
      <c r="P24" s="287">
        <v>13339</v>
      </c>
      <c r="Q24" s="289">
        <v>28949</v>
      </c>
      <c r="R24" s="287"/>
      <c r="S24" s="289"/>
      <c r="T24" s="287"/>
      <c r="U24" s="289"/>
      <c r="V24" s="287"/>
      <c r="W24" s="289"/>
      <c r="X24" s="291"/>
      <c r="Y24" s="289"/>
      <c r="Z24" s="291"/>
      <c r="AA24" s="289"/>
      <c r="AB24" s="287"/>
      <c r="AC24" s="289"/>
      <c r="AD24" s="291"/>
      <c r="AE24" s="289"/>
      <c r="AF24" s="291"/>
      <c r="AG24" s="289"/>
      <c r="AH24" s="287"/>
      <c r="AI24" s="289"/>
      <c r="AJ24" s="291"/>
      <c r="AK24" s="289"/>
      <c r="AL24" s="293"/>
      <c r="AM24" s="289"/>
      <c r="AN24" s="291"/>
      <c r="AO24" s="289"/>
      <c r="AP24" s="291"/>
      <c r="AQ24" s="289"/>
      <c r="AR24" s="291">
        <v>7402</v>
      </c>
      <c r="AS24" s="289">
        <v>26128</v>
      </c>
      <c r="AT24" s="291"/>
      <c r="AU24" s="289"/>
      <c r="AV24" s="837">
        <f t="shared" si="0"/>
        <v>191231</v>
      </c>
      <c r="AW24" s="289">
        <f t="shared" si="0"/>
        <v>346147</v>
      </c>
      <c r="AX24" s="837"/>
      <c r="AY24" s="289"/>
      <c r="AZ24" s="837">
        <f t="shared" si="1"/>
        <v>191231</v>
      </c>
      <c r="BA24" s="289">
        <f t="shared" si="1"/>
        <v>346147</v>
      </c>
    </row>
    <row r="25" spans="1:53" x14ac:dyDescent="0.3">
      <c r="A25" s="62" t="s">
        <v>285</v>
      </c>
      <c r="B25" s="838"/>
      <c r="C25" s="838"/>
      <c r="D25" s="304"/>
      <c r="E25" s="289"/>
      <c r="F25" s="293"/>
      <c r="G25" s="289"/>
      <c r="H25" s="291"/>
      <c r="I25" s="289"/>
      <c r="J25" s="291"/>
      <c r="K25" s="289"/>
      <c r="L25" s="292"/>
      <c r="M25" s="289"/>
      <c r="N25" s="287"/>
      <c r="O25" s="289"/>
      <c r="P25" s="287"/>
      <c r="Q25" s="289"/>
      <c r="R25" s="287"/>
      <c r="S25" s="289">
        <v>829</v>
      </c>
      <c r="T25" s="287"/>
      <c r="U25" s="289"/>
      <c r="V25" s="287"/>
      <c r="W25" s="289"/>
      <c r="X25" s="291"/>
      <c r="Y25" s="289"/>
      <c r="Z25" s="291"/>
      <c r="AA25" s="289"/>
      <c r="AB25" s="287"/>
      <c r="AC25" s="289"/>
      <c r="AD25" s="291"/>
      <c r="AE25" s="289"/>
      <c r="AF25" s="291"/>
      <c r="AG25" s="289"/>
      <c r="AH25" s="287"/>
      <c r="AI25" s="289"/>
      <c r="AJ25" s="291"/>
      <c r="AK25" s="289"/>
      <c r="AL25" s="293"/>
      <c r="AM25" s="289"/>
      <c r="AN25" s="291"/>
      <c r="AO25" s="289"/>
      <c r="AP25" s="291"/>
      <c r="AQ25" s="289"/>
      <c r="AR25" s="291"/>
      <c r="AS25" s="289"/>
      <c r="AT25" s="291"/>
      <c r="AU25" s="289"/>
      <c r="AV25" s="837">
        <f t="shared" si="0"/>
        <v>0</v>
      </c>
      <c r="AW25" s="289">
        <f t="shared" si="0"/>
        <v>829</v>
      </c>
      <c r="AX25" s="837"/>
      <c r="AY25" s="289"/>
      <c r="AZ25" s="837">
        <f t="shared" si="1"/>
        <v>0</v>
      </c>
      <c r="BA25" s="289">
        <f t="shared" si="1"/>
        <v>829</v>
      </c>
    </row>
    <row r="26" spans="1:53" x14ac:dyDescent="0.3">
      <c r="A26" s="839" t="s">
        <v>286</v>
      </c>
      <c r="B26" s="838"/>
      <c r="C26" s="838"/>
      <c r="D26" s="304"/>
      <c r="E26" s="289"/>
      <c r="F26" s="293"/>
      <c r="G26" s="289"/>
      <c r="H26" s="291"/>
      <c r="I26" s="289"/>
      <c r="J26" s="291"/>
      <c r="K26" s="289"/>
      <c r="L26" s="292"/>
      <c r="M26" s="289"/>
      <c r="N26" s="287"/>
      <c r="O26" s="289"/>
      <c r="P26" s="287"/>
      <c r="Q26" s="289"/>
      <c r="R26" s="287"/>
      <c r="S26" s="289">
        <f>12460+4287</f>
        <v>16747</v>
      </c>
      <c r="T26" s="287"/>
      <c r="U26" s="289"/>
      <c r="V26" s="287"/>
      <c r="W26" s="289"/>
      <c r="X26" s="291">
        <f>963098+4019</f>
        <v>967117</v>
      </c>
      <c r="Y26" s="289">
        <f>1115462+6200</f>
        <v>1121662</v>
      </c>
      <c r="Z26" s="291">
        <v>20277</v>
      </c>
      <c r="AA26" s="289">
        <v>20896</v>
      </c>
      <c r="AB26" s="287"/>
      <c r="AC26" s="289"/>
      <c r="AD26" s="291"/>
      <c r="AE26" s="289"/>
      <c r="AF26" s="291">
        <v>458284</v>
      </c>
      <c r="AG26" s="289">
        <v>360692</v>
      </c>
      <c r="AH26" s="287"/>
      <c r="AI26" s="289"/>
      <c r="AJ26" s="291"/>
      <c r="AK26" s="289"/>
      <c r="AL26" s="293"/>
      <c r="AM26" s="289"/>
      <c r="AN26" s="291"/>
      <c r="AO26" s="289"/>
      <c r="AP26" s="291"/>
      <c r="AQ26" s="289"/>
      <c r="AR26" s="291"/>
      <c r="AS26" s="289"/>
      <c r="AT26" s="291"/>
      <c r="AU26" s="289"/>
      <c r="AV26" s="837">
        <f t="shared" si="0"/>
        <v>1445678</v>
      </c>
      <c r="AW26" s="289">
        <f t="shared" si="0"/>
        <v>1519997</v>
      </c>
      <c r="AX26" s="837"/>
      <c r="AY26" s="289"/>
      <c r="AZ26" s="837">
        <f t="shared" si="1"/>
        <v>1445678</v>
      </c>
      <c r="BA26" s="289">
        <f t="shared" si="1"/>
        <v>1519997</v>
      </c>
    </row>
    <row r="27" spans="1:53" x14ac:dyDescent="0.3">
      <c r="A27" s="62" t="s">
        <v>287</v>
      </c>
      <c r="B27" s="838">
        <v>139921</v>
      </c>
      <c r="C27" s="838">
        <v>106925</v>
      </c>
      <c r="D27" s="304">
        <v>11707</v>
      </c>
      <c r="E27" s="289">
        <v>15190</v>
      </c>
      <c r="F27" s="293">
        <v>17577</v>
      </c>
      <c r="G27" s="289">
        <v>18644</v>
      </c>
      <c r="H27" s="291"/>
      <c r="I27" s="289"/>
      <c r="J27" s="291">
        <v>5788</v>
      </c>
      <c r="K27" s="289">
        <v>3041</v>
      </c>
      <c r="L27" s="292">
        <f>66051+1125</f>
        <v>67176</v>
      </c>
      <c r="M27" s="289">
        <v>75902</v>
      </c>
      <c r="N27" s="287">
        <v>4716</v>
      </c>
      <c r="O27" s="289">
        <v>6168</v>
      </c>
      <c r="P27" s="287">
        <v>19079</v>
      </c>
      <c r="Q27" s="289">
        <v>18813</v>
      </c>
      <c r="R27" s="287"/>
      <c r="S27" s="289"/>
      <c r="T27" s="287">
        <v>20199</v>
      </c>
      <c r="U27" s="289">
        <v>17693</v>
      </c>
      <c r="V27" s="287">
        <v>404025</v>
      </c>
      <c r="W27" s="289">
        <v>368400</v>
      </c>
      <c r="X27" s="291"/>
      <c r="Y27" s="289"/>
      <c r="Z27" s="291"/>
      <c r="AA27" s="289"/>
      <c r="AB27" s="287">
        <v>48851</v>
      </c>
      <c r="AC27" s="289">
        <v>42718.05</v>
      </c>
      <c r="AD27" s="291">
        <v>60744</v>
      </c>
      <c r="AE27" s="289">
        <v>67337</v>
      </c>
      <c r="AF27" s="291"/>
      <c r="AG27" s="289"/>
      <c r="AH27" s="287">
        <v>108110</v>
      </c>
      <c r="AI27" s="289">
        <v>80607</v>
      </c>
      <c r="AJ27" s="291">
        <v>71476</v>
      </c>
      <c r="AK27" s="289">
        <v>52969</v>
      </c>
      <c r="AL27" s="293"/>
      <c r="AM27" s="289"/>
      <c r="AN27" s="291">
        <v>868968</v>
      </c>
      <c r="AO27" s="289">
        <v>814275</v>
      </c>
      <c r="AP27" s="291">
        <v>2371</v>
      </c>
      <c r="AQ27" s="289">
        <v>2226</v>
      </c>
      <c r="AR27" s="291">
        <v>29981</v>
      </c>
      <c r="AS27" s="289">
        <v>23277</v>
      </c>
      <c r="AT27" s="291">
        <v>139782</v>
      </c>
      <c r="AU27" s="289">
        <v>115383</v>
      </c>
      <c r="AV27" s="837">
        <f t="shared" si="0"/>
        <v>2020471</v>
      </c>
      <c r="AW27" s="289">
        <f t="shared" si="0"/>
        <v>1829568.05</v>
      </c>
      <c r="AX27" s="837">
        <v>9901.01</v>
      </c>
      <c r="AY27" s="289">
        <v>4393.71</v>
      </c>
      <c r="AZ27" s="837">
        <f t="shared" si="1"/>
        <v>2030372.01</v>
      </c>
      <c r="BA27" s="289">
        <f t="shared" si="1"/>
        <v>1833961.76</v>
      </c>
    </row>
    <row r="28" spans="1:53" x14ac:dyDescent="0.3">
      <c r="A28" s="62" t="s">
        <v>288</v>
      </c>
      <c r="B28" s="838"/>
      <c r="C28" s="838"/>
      <c r="D28" s="304">
        <v>241</v>
      </c>
      <c r="E28" s="289">
        <v>82</v>
      </c>
      <c r="F28" s="293"/>
      <c r="G28" s="289"/>
      <c r="H28" s="291"/>
      <c r="I28" s="289"/>
      <c r="J28" s="291"/>
      <c r="K28" s="289"/>
      <c r="L28" s="292"/>
      <c r="M28" s="289">
        <v>1325</v>
      </c>
      <c r="N28" s="287"/>
      <c r="O28" s="289"/>
      <c r="P28" s="287"/>
      <c r="Q28" s="289"/>
      <c r="R28" s="287"/>
      <c r="S28" s="289"/>
      <c r="T28" s="287"/>
      <c r="U28" s="289"/>
      <c r="V28" s="287">
        <v>1642</v>
      </c>
      <c r="W28" s="289">
        <v>2333</v>
      </c>
      <c r="X28" s="291"/>
      <c r="Y28" s="289"/>
      <c r="Z28" s="291"/>
      <c r="AA28" s="289"/>
      <c r="AB28" s="287"/>
      <c r="AC28" s="289"/>
      <c r="AD28" s="291">
        <v>26</v>
      </c>
      <c r="AE28" s="289">
        <v>49</v>
      </c>
      <c r="AF28" s="291"/>
      <c r="AG28" s="289"/>
      <c r="AH28" s="287"/>
      <c r="AI28" s="289"/>
      <c r="AJ28" s="291"/>
      <c r="AK28" s="289"/>
      <c r="AL28" s="293"/>
      <c r="AM28" s="289"/>
      <c r="AN28" s="291">
        <v>15000</v>
      </c>
      <c r="AO28" s="289">
        <v>12042</v>
      </c>
      <c r="AP28" s="291"/>
      <c r="AQ28" s="289"/>
      <c r="AR28" s="291">
        <v>36</v>
      </c>
      <c r="AS28" s="289">
        <v>16</v>
      </c>
      <c r="AT28" s="291">
        <v>711</v>
      </c>
      <c r="AU28" s="289">
        <v>869</v>
      </c>
      <c r="AV28" s="837">
        <f t="shared" si="0"/>
        <v>17656</v>
      </c>
      <c r="AW28" s="289">
        <f t="shared" si="0"/>
        <v>16716</v>
      </c>
      <c r="AX28" s="837">
        <v>1593.56</v>
      </c>
      <c r="AY28" s="289">
        <v>1692.4</v>
      </c>
      <c r="AZ28" s="837">
        <f t="shared" si="1"/>
        <v>19249.560000000001</v>
      </c>
      <c r="BA28" s="289">
        <f t="shared" si="1"/>
        <v>18408.400000000001</v>
      </c>
    </row>
    <row r="29" spans="1:53" x14ac:dyDescent="0.3">
      <c r="A29" s="62" t="s">
        <v>289</v>
      </c>
      <c r="B29" s="838">
        <v>237132</v>
      </c>
      <c r="C29" s="838">
        <v>430721</v>
      </c>
      <c r="D29" s="304"/>
      <c r="E29" s="289"/>
      <c r="F29" s="293"/>
      <c r="G29" s="289"/>
      <c r="H29" s="291">
        <v>183651</v>
      </c>
      <c r="I29" s="289">
        <v>183301</v>
      </c>
      <c r="J29" s="291"/>
      <c r="K29" s="289"/>
      <c r="L29" s="292"/>
      <c r="M29" s="289"/>
      <c r="N29" s="287"/>
      <c r="O29" s="289"/>
      <c r="P29" s="287"/>
      <c r="Q29" s="289"/>
      <c r="R29" s="287"/>
      <c r="S29" s="289"/>
      <c r="T29" s="287"/>
      <c r="U29" s="289"/>
      <c r="V29" s="287"/>
      <c r="W29" s="289"/>
      <c r="X29" s="291"/>
      <c r="Y29" s="289"/>
      <c r="Z29" s="291"/>
      <c r="AA29" s="289"/>
      <c r="AB29" s="287"/>
      <c r="AC29" s="289"/>
      <c r="AD29" s="291"/>
      <c r="AE29" s="289"/>
      <c r="AF29" s="291"/>
      <c r="AG29" s="289"/>
      <c r="AH29" s="287"/>
      <c r="AI29" s="289"/>
      <c r="AJ29" s="291"/>
      <c r="AK29" s="289"/>
      <c r="AL29" s="293"/>
      <c r="AM29" s="289"/>
      <c r="AN29" s="291"/>
      <c r="AO29" s="289"/>
      <c r="AP29" s="291"/>
      <c r="AQ29" s="289"/>
      <c r="AR29" s="291"/>
      <c r="AS29" s="289"/>
      <c r="AT29" s="291"/>
      <c r="AU29" s="289"/>
      <c r="AV29" s="837">
        <f t="shared" si="0"/>
        <v>420783</v>
      </c>
      <c r="AW29" s="289">
        <f t="shared" si="0"/>
        <v>614022</v>
      </c>
      <c r="AX29" s="837"/>
      <c r="AY29" s="289"/>
      <c r="AZ29" s="837">
        <f t="shared" si="1"/>
        <v>420783</v>
      </c>
      <c r="BA29" s="289">
        <f t="shared" si="1"/>
        <v>614022</v>
      </c>
    </row>
    <row r="30" spans="1:53" x14ac:dyDescent="0.3">
      <c r="A30" s="62" t="s">
        <v>290</v>
      </c>
      <c r="B30" s="838"/>
      <c r="C30" s="838"/>
      <c r="D30" s="304"/>
      <c r="E30" s="289"/>
      <c r="F30" s="293"/>
      <c r="G30" s="289"/>
      <c r="H30" s="291"/>
      <c r="I30" s="289"/>
      <c r="J30" s="291"/>
      <c r="K30" s="289"/>
      <c r="L30" s="292"/>
      <c r="M30" s="289"/>
      <c r="N30" s="287"/>
      <c r="O30" s="289"/>
      <c r="P30" s="287"/>
      <c r="Q30" s="289"/>
      <c r="R30" s="287"/>
      <c r="S30" s="289"/>
      <c r="T30" s="287"/>
      <c r="U30" s="289"/>
      <c r="V30" s="287"/>
      <c r="W30" s="289"/>
      <c r="X30" s="291"/>
      <c r="Y30" s="289"/>
      <c r="Z30" s="291"/>
      <c r="AA30" s="289"/>
      <c r="AB30" s="287"/>
      <c r="AC30" s="289"/>
      <c r="AD30" s="291"/>
      <c r="AE30" s="289"/>
      <c r="AF30" s="291"/>
      <c r="AG30" s="289"/>
      <c r="AH30" s="287"/>
      <c r="AI30" s="289"/>
      <c r="AJ30" s="291"/>
      <c r="AK30" s="289"/>
      <c r="AL30" s="293"/>
      <c r="AM30" s="289"/>
      <c r="AN30" s="291"/>
      <c r="AO30" s="289"/>
      <c r="AP30" s="291"/>
      <c r="AQ30" s="289"/>
      <c r="AR30" s="291"/>
      <c r="AS30" s="289"/>
      <c r="AT30" s="291"/>
      <c r="AU30" s="289"/>
      <c r="AV30" s="837">
        <f t="shared" si="0"/>
        <v>0</v>
      </c>
      <c r="AW30" s="289">
        <f t="shared" si="0"/>
        <v>0</v>
      </c>
      <c r="AX30" s="837"/>
      <c r="AY30" s="289"/>
      <c r="AZ30" s="837">
        <f t="shared" si="1"/>
        <v>0</v>
      </c>
      <c r="BA30" s="289">
        <f t="shared" si="1"/>
        <v>0</v>
      </c>
    </row>
    <row r="31" spans="1:53" x14ac:dyDescent="0.3">
      <c r="A31" s="839" t="s">
        <v>291</v>
      </c>
      <c r="B31" s="838"/>
      <c r="C31" s="838"/>
      <c r="D31" s="304"/>
      <c r="E31" s="289"/>
      <c r="F31" s="293">
        <v>9014</v>
      </c>
      <c r="G31" s="289">
        <v>8981</v>
      </c>
      <c r="H31" s="291">
        <v>116658</v>
      </c>
      <c r="I31" s="289">
        <v>107485</v>
      </c>
      <c r="J31" s="291">
        <v>16898</v>
      </c>
      <c r="K31" s="289">
        <v>13820</v>
      </c>
      <c r="L31" s="292">
        <v>66345</v>
      </c>
      <c r="M31" s="289">
        <v>52870</v>
      </c>
      <c r="N31" s="287">
        <v>4794</v>
      </c>
      <c r="O31" s="289">
        <v>2509</v>
      </c>
      <c r="P31" s="287">
        <v>1048</v>
      </c>
      <c r="Q31" s="289">
        <v>731</v>
      </c>
      <c r="R31" s="287"/>
      <c r="S31" s="289">
        <f>39394+750</f>
        <v>40144</v>
      </c>
      <c r="T31" s="287">
        <v>32744</v>
      </c>
      <c r="U31" s="289">
        <v>28270</v>
      </c>
      <c r="V31" s="287"/>
      <c r="W31" s="289"/>
      <c r="X31" s="291">
        <v>151935</v>
      </c>
      <c r="Y31" s="289">
        <v>126108</v>
      </c>
      <c r="Z31" s="291">
        <f>15+4620+14828</f>
        <v>19463</v>
      </c>
      <c r="AA31" s="289">
        <f>18+5094+11196</f>
        <v>16308</v>
      </c>
      <c r="AB31" s="287">
        <v>29552</v>
      </c>
      <c r="AC31" s="289">
        <v>27731.83</v>
      </c>
      <c r="AD31" s="291">
        <v>33873</v>
      </c>
      <c r="AE31" s="289">
        <v>29469</v>
      </c>
      <c r="AF31" s="291"/>
      <c r="AG31" s="289"/>
      <c r="AH31" s="287">
        <v>84358</v>
      </c>
      <c r="AI31" s="289">
        <v>78882</v>
      </c>
      <c r="AJ31" s="291">
        <v>41417</v>
      </c>
      <c r="AK31" s="289">
        <v>38188</v>
      </c>
      <c r="AL31" s="293"/>
      <c r="AM31" s="289"/>
      <c r="AN31" s="291">
        <v>132022</v>
      </c>
      <c r="AO31" s="289">
        <v>111822</v>
      </c>
      <c r="AP31" s="291">
        <f>218.84+5407.82+2392.63</f>
        <v>8019.29</v>
      </c>
      <c r="AQ31" s="289">
        <f>305+2637+74</f>
        <v>3016</v>
      </c>
      <c r="AR31" s="291">
        <v>27791</v>
      </c>
      <c r="AS31" s="289">
        <v>24875</v>
      </c>
      <c r="AT31" s="291">
        <v>104268</v>
      </c>
      <c r="AU31" s="289">
        <v>101843</v>
      </c>
      <c r="AV31" s="837">
        <f t="shared" si="0"/>
        <v>880199.29</v>
      </c>
      <c r="AW31" s="289">
        <f t="shared" si="0"/>
        <v>813052.83000000007</v>
      </c>
      <c r="AX31" s="837">
        <v>403813.41</v>
      </c>
      <c r="AY31" s="289">
        <v>440643.23</v>
      </c>
      <c r="AZ31" s="837">
        <f t="shared" si="1"/>
        <v>1284012.7</v>
      </c>
      <c r="BA31" s="289">
        <f t="shared" si="1"/>
        <v>1253696.06</v>
      </c>
    </row>
    <row r="32" spans="1:53" x14ac:dyDescent="0.3">
      <c r="A32" s="62" t="s">
        <v>278</v>
      </c>
      <c r="B32" s="838"/>
      <c r="C32" s="838"/>
      <c r="D32" s="304"/>
      <c r="E32" s="289"/>
      <c r="F32" s="293"/>
      <c r="G32" s="289"/>
      <c r="H32" s="291"/>
      <c r="I32" s="289"/>
      <c r="J32" s="291"/>
      <c r="K32" s="289"/>
      <c r="L32" s="292"/>
      <c r="M32" s="289"/>
      <c r="N32" s="287"/>
      <c r="O32" s="289"/>
      <c r="P32" s="287"/>
      <c r="Q32" s="289"/>
      <c r="R32" s="287"/>
      <c r="S32" s="289"/>
      <c r="T32" s="287"/>
      <c r="U32" s="289"/>
      <c r="V32" s="287"/>
      <c r="W32" s="289"/>
      <c r="X32" s="291"/>
      <c r="Y32" s="289"/>
      <c r="Z32" s="291"/>
      <c r="AA32" s="289"/>
      <c r="AB32" s="287"/>
      <c r="AC32" s="289"/>
      <c r="AD32" s="291"/>
      <c r="AE32" s="289"/>
      <c r="AF32" s="291"/>
      <c r="AG32" s="289"/>
      <c r="AH32" s="287"/>
      <c r="AI32" s="289"/>
      <c r="AJ32" s="291"/>
      <c r="AK32" s="289"/>
      <c r="AL32" s="293"/>
      <c r="AM32" s="289"/>
      <c r="AN32" s="291"/>
      <c r="AO32" s="289"/>
      <c r="AP32" s="291"/>
      <c r="AQ32" s="289"/>
      <c r="AR32" s="291"/>
      <c r="AS32" s="289"/>
      <c r="AT32" s="291"/>
      <c r="AU32" s="289"/>
      <c r="AV32" s="837">
        <f t="shared" si="0"/>
        <v>0</v>
      </c>
      <c r="AW32" s="289">
        <f t="shared" si="0"/>
        <v>0</v>
      </c>
      <c r="AX32" s="837"/>
      <c r="AY32" s="289"/>
      <c r="AZ32" s="837">
        <f t="shared" si="1"/>
        <v>0</v>
      </c>
      <c r="BA32" s="289">
        <f t="shared" si="1"/>
        <v>0</v>
      </c>
    </row>
    <row r="33" spans="1:53" x14ac:dyDescent="0.3">
      <c r="A33" s="62" t="s">
        <v>279</v>
      </c>
      <c r="B33" s="838"/>
      <c r="C33" s="838"/>
      <c r="D33" s="304">
        <v>23027</v>
      </c>
      <c r="E33" s="289">
        <v>21183</v>
      </c>
      <c r="F33" s="293"/>
      <c r="G33" s="289"/>
      <c r="H33" s="291"/>
      <c r="I33" s="289"/>
      <c r="J33" s="291"/>
      <c r="K33" s="289"/>
      <c r="L33" s="292"/>
      <c r="M33" s="289"/>
      <c r="N33" s="287"/>
      <c r="O33" s="289"/>
      <c r="P33" s="287"/>
      <c r="Q33" s="289"/>
      <c r="R33" s="287"/>
      <c r="S33" s="289"/>
      <c r="T33" s="287"/>
      <c r="U33" s="289"/>
      <c r="V33" s="287">
        <v>93084</v>
      </c>
      <c r="W33" s="289">
        <v>88684</v>
      </c>
      <c r="X33" s="291"/>
      <c r="Y33" s="289"/>
      <c r="Z33" s="291"/>
      <c r="AA33" s="289"/>
      <c r="AB33" s="287"/>
      <c r="AC33" s="289"/>
      <c r="AD33" s="291"/>
      <c r="AE33" s="289"/>
      <c r="AF33" s="291">
        <v>346555</v>
      </c>
      <c r="AG33" s="289">
        <v>313124</v>
      </c>
      <c r="AH33" s="287"/>
      <c r="AI33" s="289"/>
      <c r="AJ33" s="291"/>
      <c r="AK33" s="289"/>
      <c r="AL33" s="293"/>
      <c r="AM33" s="289"/>
      <c r="AN33" s="291"/>
      <c r="AO33" s="289"/>
      <c r="AP33" s="291"/>
      <c r="AQ33" s="289"/>
      <c r="AR33" s="291"/>
      <c r="AS33" s="289"/>
      <c r="AT33" s="291"/>
      <c r="AU33" s="289"/>
      <c r="AV33" s="837">
        <f t="shared" si="0"/>
        <v>462666</v>
      </c>
      <c r="AW33" s="289">
        <f t="shared" si="0"/>
        <v>422991</v>
      </c>
      <c r="AX33" s="837"/>
      <c r="AY33" s="289"/>
      <c r="AZ33" s="837">
        <f t="shared" si="1"/>
        <v>462666</v>
      </c>
      <c r="BA33" s="289">
        <f t="shared" si="1"/>
        <v>422991</v>
      </c>
    </row>
    <row r="34" spans="1:53" x14ac:dyDescent="0.3">
      <c r="A34" s="62" t="s">
        <v>74</v>
      </c>
      <c r="B34" s="838"/>
      <c r="C34" s="838"/>
      <c r="D34" s="304"/>
      <c r="E34" s="289"/>
      <c r="F34" s="293"/>
      <c r="G34" s="289"/>
      <c r="H34" s="291"/>
      <c r="I34" s="289"/>
      <c r="J34" s="291"/>
      <c r="K34" s="289"/>
      <c r="L34" s="292"/>
      <c r="M34" s="289"/>
      <c r="N34" s="287"/>
      <c r="O34" s="289"/>
      <c r="P34" s="287">
        <v>120</v>
      </c>
      <c r="Q34" s="289">
        <v>21</v>
      </c>
      <c r="R34" s="287"/>
      <c r="S34" s="289"/>
      <c r="T34" s="287"/>
      <c r="U34" s="289"/>
      <c r="V34" s="287"/>
      <c r="W34" s="289"/>
      <c r="X34" s="291"/>
      <c r="Y34" s="289"/>
      <c r="Z34" s="291"/>
      <c r="AA34" s="289"/>
      <c r="AB34" s="287"/>
      <c r="AC34" s="289"/>
      <c r="AD34" s="291">
        <v>-1761</v>
      </c>
      <c r="AE34" s="289">
        <v>10458</v>
      </c>
      <c r="AF34" s="291"/>
      <c r="AG34" s="289"/>
      <c r="AH34" s="287"/>
      <c r="AI34" s="289"/>
      <c r="AJ34" s="291"/>
      <c r="AK34" s="289">
        <v>1720</v>
      </c>
      <c r="AL34" s="293"/>
      <c r="AM34" s="289"/>
      <c r="AN34" s="291"/>
      <c r="AO34" s="289"/>
      <c r="AP34" s="291"/>
      <c r="AQ34" s="289"/>
      <c r="AR34" s="291"/>
      <c r="AS34" s="289"/>
      <c r="AT34" s="291"/>
      <c r="AU34" s="289"/>
      <c r="AV34" s="837">
        <f t="shared" si="0"/>
        <v>-1641</v>
      </c>
      <c r="AW34" s="289">
        <f t="shared" si="0"/>
        <v>12199</v>
      </c>
      <c r="AX34" s="837"/>
      <c r="AY34" s="289"/>
      <c r="AZ34" s="837">
        <f t="shared" si="1"/>
        <v>-1641</v>
      </c>
      <c r="BA34" s="289">
        <f t="shared" si="1"/>
        <v>12199</v>
      </c>
    </row>
    <row r="35" spans="1:53" s="843" customFormat="1" ht="18" x14ac:dyDescent="0.35">
      <c r="A35" s="839" t="s">
        <v>292</v>
      </c>
      <c r="B35" s="840">
        <v>6543282</v>
      </c>
      <c r="C35" s="840">
        <v>5810578</v>
      </c>
      <c r="D35" s="930">
        <v>649947</v>
      </c>
      <c r="E35" s="842">
        <v>584489</v>
      </c>
      <c r="F35" s="1007">
        <v>1335208</v>
      </c>
      <c r="G35" s="842">
        <v>1280634</v>
      </c>
      <c r="H35" s="1011">
        <v>8741141</v>
      </c>
      <c r="I35" s="842">
        <v>8234117</v>
      </c>
      <c r="J35" s="1011">
        <v>1554615</v>
      </c>
      <c r="K35" s="842">
        <v>1350115</v>
      </c>
      <c r="L35" s="983">
        <v>2730473</v>
      </c>
      <c r="M35" s="842">
        <v>2314671</v>
      </c>
      <c r="N35" s="978">
        <v>703318</v>
      </c>
      <c r="O35" s="842">
        <v>633448</v>
      </c>
      <c r="P35" s="978">
        <v>831162</v>
      </c>
      <c r="Q35" s="842">
        <v>685353</v>
      </c>
      <c r="R35" s="978"/>
      <c r="S35" s="842">
        <v>2038021</v>
      </c>
      <c r="T35" s="978">
        <v>891811</v>
      </c>
      <c r="U35" s="842">
        <v>763193</v>
      </c>
      <c r="V35" s="978">
        <v>21115487</v>
      </c>
      <c r="W35" s="842">
        <v>19134601</v>
      </c>
      <c r="X35" s="1011">
        <v>24363727</v>
      </c>
      <c r="Y35" s="842">
        <v>23657969</v>
      </c>
      <c r="Z35" s="1011">
        <v>1463783</v>
      </c>
      <c r="AA35" s="842">
        <v>1334489</v>
      </c>
      <c r="AB35" s="978">
        <v>2049371</v>
      </c>
      <c r="AC35" s="842">
        <v>1793419.6</v>
      </c>
      <c r="AD35" s="1011">
        <v>5777291</v>
      </c>
      <c r="AE35" s="842">
        <v>5055210</v>
      </c>
      <c r="AF35" s="1011">
        <v>11445435</v>
      </c>
      <c r="AG35" s="842">
        <v>10051160</v>
      </c>
      <c r="AH35" s="978">
        <v>3735814</v>
      </c>
      <c r="AI35" s="842">
        <v>3214889</v>
      </c>
      <c r="AJ35" s="1011">
        <v>2927845</v>
      </c>
      <c r="AK35" s="842">
        <v>2671672</v>
      </c>
      <c r="AL35" s="1007"/>
      <c r="AM35" s="842"/>
      <c r="AN35" s="1011">
        <v>28400675</v>
      </c>
      <c r="AO35" s="842">
        <v>24512137</v>
      </c>
      <c r="AP35" s="1011">
        <v>854263.21</v>
      </c>
      <c r="AQ35" s="842">
        <v>706112</v>
      </c>
      <c r="AR35" s="1011">
        <v>1705069</v>
      </c>
      <c r="AS35" s="842">
        <v>1356794</v>
      </c>
      <c r="AT35" s="1011">
        <v>6314188</v>
      </c>
      <c r="AU35" s="842">
        <v>5328663</v>
      </c>
      <c r="AV35" s="841">
        <f t="shared" si="0"/>
        <v>134133905.20999999</v>
      </c>
      <c r="AW35" s="842">
        <f t="shared" si="0"/>
        <v>122511734.59999999</v>
      </c>
      <c r="AX35" s="841">
        <v>433613295.50999999</v>
      </c>
      <c r="AY35" s="842">
        <v>402358989.51999998</v>
      </c>
      <c r="AZ35" s="841">
        <f t="shared" si="1"/>
        <v>567747200.72000003</v>
      </c>
      <c r="BA35" s="842">
        <f t="shared" si="1"/>
        <v>524870724.12</v>
      </c>
    </row>
    <row r="36" spans="1:53" x14ac:dyDescent="0.3">
      <c r="A36" s="839" t="s">
        <v>293</v>
      </c>
      <c r="B36" s="838"/>
      <c r="C36" s="838"/>
      <c r="D36" s="304"/>
      <c r="E36" s="289"/>
      <c r="F36" s="293"/>
      <c r="G36" s="289"/>
      <c r="H36" s="291"/>
      <c r="I36" s="289"/>
      <c r="J36" s="291"/>
      <c r="K36" s="289"/>
      <c r="L36" s="292"/>
      <c r="M36" s="289"/>
      <c r="N36" s="287"/>
      <c r="O36" s="289"/>
      <c r="P36" s="287"/>
      <c r="Q36" s="289"/>
      <c r="R36" s="287"/>
      <c r="S36" s="289"/>
      <c r="T36" s="287"/>
      <c r="U36" s="289"/>
      <c r="V36" s="287"/>
      <c r="W36" s="289"/>
      <c r="X36" s="291"/>
      <c r="Y36" s="289"/>
      <c r="Z36" s="291"/>
      <c r="AA36" s="289"/>
      <c r="AB36" s="287"/>
      <c r="AC36" s="289"/>
      <c r="AD36" s="291"/>
      <c r="AE36" s="289"/>
      <c r="AF36" s="291"/>
      <c r="AG36" s="289"/>
      <c r="AH36" s="287"/>
      <c r="AI36" s="289"/>
      <c r="AJ36" s="291"/>
      <c r="AK36" s="289"/>
      <c r="AL36" s="293"/>
      <c r="AM36" s="289"/>
      <c r="AN36" s="291"/>
      <c r="AO36" s="289"/>
      <c r="AP36" s="291"/>
      <c r="AQ36" s="289"/>
      <c r="AR36" s="291"/>
      <c r="AS36" s="289"/>
      <c r="AT36" s="291"/>
      <c r="AU36" s="289"/>
      <c r="AV36" s="837">
        <f t="shared" si="0"/>
        <v>0</v>
      </c>
      <c r="AW36" s="289">
        <f t="shared" si="0"/>
        <v>0</v>
      </c>
      <c r="AX36" s="837"/>
      <c r="AY36" s="289"/>
      <c r="AZ36" s="837">
        <f t="shared" si="1"/>
        <v>0</v>
      </c>
      <c r="BA36" s="289">
        <f t="shared" si="1"/>
        <v>0</v>
      </c>
    </row>
    <row r="37" spans="1:53" x14ac:dyDescent="0.3">
      <c r="A37" s="839" t="s">
        <v>294</v>
      </c>
      <c r="B37" s="838"/>
      <c r="C37" s="838"/>
      <c r="D37" s="304"/>
      <c r="E37" s="289"/>
      <c r="F37" s="293"/>
      <c r="G37" s="289"/>
      <c r="H37" s="291"/>
      <c r="I37" s="289"/>
      <c r="J37" s="291"/>
      <c r="K37" s="289"/>
      <c r="L37" s="292"/>
      <c r="M37" s="289"/>
      <c r="N37" s="287"/>
      <c r="O37" s="289"/>
      <c r="P37" s="287"/>
      <c r="Q37" s="289"/>
      <c r="R37" s="287"/>
      <c r="S37" s="289"/>
      <c r="T37" s="287"/>
      <c r="U37" s="289"/>
      <c r="V37" s="287"/>
      <c r="W37" s="289"/>
      <c r="X37" s="291"/>
      <c r="Y37" s="289"/>
      <c r="Z37" s="291"/>
      <c r="AA37" s="289"/>
      <c r="AB37" s="287"/>
      <c r="AC37" s="289"/>
      <c r="AD37" s="291"/>
      <c r="AE37" s="289"/>
      <c r="AF37" s="291"/>
      <c r="AG37" s="289"/>
      <c r="AH37" s="287"/>
      <c r="AI37" s="289"/>
      <c r="AJ37" s="291"/>
      <c r="AK37" s="289"/>
      <c r="AL37" s="293"/>
      <c r="AM37" s="289"/>
      <c r="AN37" s="291"/>
      <c r="AO37" s="289"/>
      <c r="AP37" s="291"/>
      <c r="AQ37" s="289"/>
      <c r="AR37" s="291"/>
      <c r="AS37" s="289"/>
      <c r="AT37" s="291"/>
      <c r="AU37" s="289"/>
      <c r="AV37" s="837">
        <f t="shared" si="0"/>
        <v>0</v>
      </c>
      <c r="AW37" s="289">
        <f t="shared" si="0"/>
        <v>0</v>
      </c>
      <c r="AX37" s="837"/>
      <c r="AY37" s="289"/>
      <c r="AZ37" s="837">
        <f t="shared" si="1"/>
        <v>0</v>
      </c>
      <c r="BA37" s="289">
        <f t="shared" si="1"/>
        <v>0</v>
      </c>
    </row>
    <row r="38" spans="1:53" x14ac:dyDescent="0.3">
      <c r="A38" s="62" t="s">
        <v>295</v>
      </c>
      <c r="B38" s="838">
        <v>301516</v>
      </c>
      <c r="C38" s="838">
        <v>269600</v>
      </c>
      <c r="D38" s="304">
        <v>16071</v>
      </c>
      <c r="E38" s="289">
        <v>2827</v>
      </c>
      <c r="F38" s="293">
        <v>52276</v>
      </c>
      <c r="G38" s="289">
        <v>59027</v>
      </c>
      <c r="H38" s="291">
        <v>1032167</v>
      </c>
      <c r="I38" s="289">
        <v>1065245</v>
      </c>
      <c r="J38" s="291">
        <v>55702</v>
      </c>
      <c r="K38" s="289">
        <v>62139</v>
      </c>
      <c r="L38" s="292">
        <v>138574</v>
      </c>
      <c r="M38" s="289">
        <v>125226</v>
      </c>
      <c r="N38" s="287">
        <v>86769</v>
      </c>
      <c r="O38" s="289">
        <v>72011</v>
      </c>
      <c r="P38" s="287">
        <v>51746</v>
      </c>
      <c r="Q38" s="289">
        <v>30928</v>
      </c>
      <c r="R38" s="287"/>
      <c r="S38" s="289">
        <v>116914</v>
      </c>
      <c r="T38" s="287">
        <v>21314</v>
      </c>
      <c r="U38" s="289">
        <v>11378</v>
      </c>
      <c r="V38" s="287">
        <v>1798435</v>
      </c>
      <c r="W38" s="289">
        <v>863124</v>
      </c>
      <c r="X38" s="291">
        <v>957922</v>
      </c>
      <c r="Y38" s="289">
        <v>855739</v>
      </c>
      <c r="Z38" s="291">
        <v>75131</v>
      </c>
      <c r="AA38" s="289">
        <v>71096</v>
      </c>
      <c r="AB38" s="287">
        <v>73408</v>
      </c>
      <c r="AC38" s="289">
        <v>55147.01</v>
      </c>
      <c r="AD38" s="291">
        <v>450741</v>
      </c>
      <c r="AE38" s="289">
        <v>368007</v>
      </c>
      <c r="AF38" s="291">
        <v>440691</v>
      </c>
      <c r="AG38" s="289">
        <v>378376</v>
      </c>
      <c r="AH38" s="287">
        <v>175973</v>
      </c>
      <c r="AI38" s="289">
        <v>126529</v>
      </c>
      <c r="AJ38" s="291">
        <v>140115</v>
      </c>
      <c r="AK38" s="289">
        <v>126893</v>
      </c>
      <c r="AL38" s="293"/>
      <c r="AM38" s="289"/>
      <c r="AN38" s="291">
        <v>1111925</v>
      </c>
      <c r="AO38" s="289">
        <v>1002817</v>
      </c>
      <c r="AP38" s="291">
        <v>70187.17</v>
      </c>
      <c r="AQ38" s="289">
        <v>69986</v>
      </c>
      <c r="AR38" s="291">
        <v>78640</v>
      </c>
      <c r="AS38" s="289">
        <v>56850</v>
      </c>
      <c r="AT38" s="291">
        <v>223413</v>
      </c>
      <c r="AU38" s="289">
        <v>204392</v>
      </c>
      <c r="AV38" s="837">
        <f t="shared" si="0"/>
        <v>7352716.1699999999</v>
      </c>
      <c r="AW38" s="289">
        <f t="shared" si="0"/>
        <v>5994251.0099999998</v>
      </c>
      <c r="AX38" s="837">
        <v>946700.56</v>
      </c>
      <c r="AY38" s="289">
        <v>631102.53</v>
      </c>
      <c r="AZ38" s="837">
        <f t="shared" si="1"/>
        <v>8299416.7300000004</v>
      </c>
      <c r="BA38" s="289">
        <f t="shared" si="1"/>
        <v>6625353.54</v>
      </c>
    </row>
    <row r="39" spans="1:53" x14ac:dyDescent="0.3">
      <c r="A39" s="62" t="s">
        <v>296</v>
      </c>
      <c r="B39" s="838">
        <v>3136129</v>
      </c>
      <c r="C39" s="838">
        <v>2418281</v>
      </c>
      <c r="D39" s="304">
        <v>256424</v>
      </c>
      <c r="E39" s="289">
        <v>223722</v>
      </c>
      <c r="F39" s="293">
        <v>768895</v>
      </c>
      <c r="G39" s="289">
        <v>678383</v>
      </c>
      <c r="H39" s="291">
        <v>4303020</v>
      </c>
      <c r="I39" s="289">
        <v>3752094</v>
      </c>
      <c r="J39" s="291">
        <v>966264</v>
      </c>
      <c r="K39" s="289">
        <v>795666</v>
      </c>
      <c r="L39" s="292">
        <v>1298574</v>
      </c>
      <c r="M39" s="289">
        <v>1022203</v>
      </c>
      <c r="N39" s="287">
        <v>539516</v>
      </c>
      <c r="O39" s="289">
        <v>465986</v>
      </c>
      <c r="P39" s="287">
        <v>380541</v>
      </c>
      <c r="Q39" s="289">
        <v>291669</v>
      </c>
      <c r="R39" s="287"/>
      <c r="S39" s="289">
        <v>1522365</v>
      </c>
      <c r="T39" s="287">
        <v>558329</v>
      </c>
      <c r="U39" s="289">
        <v>459647</v>
      </c>
      <c r="V39" s="287">
        <v>11379580</v>
      </c>
      <c r="W39" s="289">
        <v>9942800</v>
      </c>
      <c r="X39" s="291">
        <v>8417212</v>
      </c>
      <c r="Y39" s="289">
        <v>7104902</v>
      </c>
      <c r="Z39" s="291">
        <v>918496</v>
      </c>
      <c r="AA39" s="289">
        <v>793577</v>
      </c>
      <c r="AB39" s="287">
        <v>1158170</v>
      </c>
      <c r="AC39" s="289">
        <v>997921.54</v>
      </c>
      <c r="AD39" s="291">
        <v>3121204</v>
      </c>
      <c r="AE39" s="289">
        <v>2504997</v>
      </c>
      <c r="AF39" s="291">
        <v>7483843</v>
      </c>
      <c r="AG39" s="289">
        <v>6410736</v>
      </c>
      <c r="AH39" s="287">
        <v>2659966</v>
      </c>
      <c r="AI39" s="289">
        <v>2202583</v>
      </c>
      <c r="AJ39" s="291">
        <v>2054967</v>
      </c>
      <c r="AK39" s="289">
        <v>1799463</v>
      </c>
      <c r="AL39" s="293"/>
      <c r="AM39" s="289"/>
      <c r="AN39" s="291">
        <v>12014940</v>
      </c>
      <c r="AO39" s="289">
        <v>10180226</v>
      </c>
      <c r="AP39" s="291">
        <v>699816.11</v>
      </c>
      <c r="AQ39" s="289">
        <v>553784</v>
      </c>
      <c r="AR39" s="291">
        <v>1306740</v>
      </c>
      <c r="AS39" s="289">
        <v>987341</v>
      </c>
      <c r="AT39" s="291">
        <v>3966436</v>
      </c>
      <c r="AU39" s="289">
        <v>3028074</v>
      </c>
      <c r="AV39" s="837">
        <f t="shared" si="0"/>
        <v>67389062.109999999</v>
      </c>
      <c r="AW39" s="289">
        <f t="shared" si="0"/>
        <v>58136420.539999999</v>
      </c>
      <c r="AX39" s="837">
        <v>409937461.39999998</v>
      </c>
      <c r="AY39" s="289">
        <v>377176167.19</v>
      </c>
      <c r="AZ39" s="837">
        <f t="shared" si="1"/>
        <v>477326523.50999999</v>
      </c>
      <c r="BA39" s="289">
        <f t="shared" si="1"/>
        <v>435312587.73000002</v>
      </c>
    </row>
    <row r="40" spans="1:53" x14ac:dyDescent="0.3">
      <c r="A40" s="62" t="s">
        <v>297</v>
      </c>
      <c r="B40" s="838">
        <v>3026684</v>
      </c>
      <c r="C40" s="838">
        <v>3023936</v>
      </c>
      <c r="D40" s="304">
        <v>103337</v>
      </c>
      <c r="E40" s="289">
        <v>111524</v>
      </c>
      <c r="F40" s="293">
        <v>356973</v>
      </c>
      <c r="G40" s="289">
        <v>389509</v>
      </c>
      <c r="H40" s="291">
        <v>3325209</v>
      </c>
      <c r="I40" s="289">
        <v>3298857</v>
      </c>
      <c r="J40" s="291">
        <v>174920</v>
      </c>
      <c r="K40" s="289">
        <v>167770</v>
      </c>
      <c r="L40" s="292">
        <v>1275641</v>
      </c>
      <c r="M40" s="289">
        <v>1316040</v>
      </c>
      <c r="N40" s="287">
        <v>38133</v>
      </c>
      <c r="O40" s="289">
        <v>43821</v>
      </c>
      <c r="P40" s="287">
        <v>174378</v>
      </c>
      <c r="Q40" s="289">
        <v>165334</v>
      </c>
      <c r="R40" s="287"/>
      <c r="S40" s="289">
        <v>236958</v>
      </c>
      <c r="T40" s="287">
        <v>72420</v>
      </c>
      <c r="U40" s="289">
        <v>74159</v>
      </c>
      <c r="V40" s="287">
        <v>7929918</v>
      </c>
      <c r="W40" s="289">
        <v>8315228</v>
      </c>
      <c r="X40" s="291">
        <v>14764969</v>
      </c>
      <c r="Y40" s="289">
        <v>15504933</v>
      </c>
      <c r="Z40" s="291">
        <v>408418</v>
      </c>
      <c r="AA40" s="289">
        <v>410747</v>
      </c>
      <c r="AB40" s="287">
        <v>732452</v>
      </c>
      <c r="AC40" s="289">
        <v>679793.09</v>
      </c>
      <c r="AD40" s="291">
        <v>2248196</v>
      </c>
      <c r="AE40" s="289">
        <v>2212361</v>
      </c>
      <c r="AF40" s="291">
        <v>3410644</v>
      </c>
      <c r="AG40" s="289">
        <v>3219904</v>
      </c>
      <c r="AH40" s="287">
        <v>798493</v>
      </c>
      <c r="AI40" s="289">
        <v>792024</v>
      </c>
      <c r="AJ40" s="291">
        <v>687545</v>
      </c>
      <c r="AK40" s="289">
        <v>687345</v>
      </c>
      <c r="AL40" s="293"/>
      <c r="AM40" s="289"/>
      <c r="AN40" s="291">
        <v>14843564</v>
      </c>
      <c r="AO40" s="289">
        <v>13001457</v>
      </c>
      <c r="AP40" s="291">
        <v>44889.55</v>
      </c>
      <c r="AQ40" s="289">
        <v>52465</v>
      </c>
      <c r="AR40" s="291">
        <v>270781</v>
      </c>
      <c r="AS40" s="289">
        <v>277283</v>
      </c>
      <c r="AT40" s="291">
        <v>2094968</v>
      </c>
      <c r="AU40" s="289">
        <v>1937964</v>
      </c>
      <c r="AV40" s="837">
        <f t="shared" si="0"/>
        <v>56782532.549999997</v>
      </c>
      <c r="AW40" s="289">
        <f t="shared" si="0"/>
        <v>55919412.090000004</v>
      </c>
      <c r="AX40" s="837">
        <v>2449557.44</v>
      </c>
      <c r="AY40" s="289">
        <v>2357659.94</v>
      </c>
      <c r="AZ40" s="837">
        <f t="shared" si="1"/>
        <v>59232089.989999995</v>
      </c>
      <c r="BA40" s="289">
        <f t="shared" si="1"/>
        <v>58277072.030000001</v>
      </c>
    </row>
    <row r="41" spans="1:53" x14ac:dyDescent="0.3">
      <c r="A41" s="62" t="s">
        <v>298</v>
      </c>
      <c r="B41" s="838">
        <v>34436</v>
      </c>
      <c r="C41" s="838">
        <v>25688</v>
      </c>
      <c r="D41" s="304">
        <v>7531</v>
      </c>
      <c r="E41" s="289">
        <v>7195</v>
      </c>
      <c r="F41" s="293"/>
      <c r="G41" s="289"/>
      <c r="H41" s="291">
        <v>53324</v>
      </c>
      <c r="I41" s="289">
        <v>49525</v>
      </c>
      <c r="J41" s="291">
        <v>3386</v>
      </c>
      <c r="K41" s="289">
        <v>2882</v>
      </c>
      <c r="L41" s="292">
        <v>1374</v>
      </c>
      <c r="M41" s="289">
        <v>532</v>
      </c>
      <c r="N41" s="287">
        <v>10486</v>
      </c>
      <c r="O41" s="289">
        <v>7611</v>
      </c>
      <c r="P41" s="287">
        <v>2671</v>
      </c>
      <c r="Q41" s="289">
        <v>1781</v>
      </c>
      <c r="R41" s="287"/>
      <c r="S41" s="289">
        <v>57816</v>
      </c>
      <c r="T41" s="287">
        <v>6094</v>
      </c>
      <c r="U41" s="289">
        <v>3209</v>
      </c>
      <c r="V41" s="287">
        <v>77183</v>
      </c>
      <c r="W41" s="289">
        <v>53931</v>
      </c>
      <c r="X41" s="291">
        <v>109452</v>
      </c>
      <c r="Y41" s="289">
        <v>78572</v>
      </c>
      <c r="Z41" s="291">
        <v>1732</v>
      </c>
      <c r="AA41" s="289">
        <v>1142</v>
      </c>
      <c r="AB41" s="287">
        <v>2843</v>
      </c>
      <c r="AC41" s="289">
        <v>1837.35</v>
      </c>
      <c r="AD41" s="291">
        <v>9146</v>
      </c>
      <c r="AE41" s="289">
        <v>7254</v>
      </c>
      <c r="AF41" s="291">
        <v>85473</v>
      </c>
      <c r="AG41" s="289">
        <v>59685</v>
      </c>
      <c r="AH41" s="287">
        <v>2232</v>
      </c>
      <c r="AI41" s="289">
        <v>11792</v>
      </c>
      <c r="AJ41" s="291">
        <v>9582</v>
      </c>
      <c r="AK41" s="289">
        <v>7080</v>
      </c>
      <c r="AL41" s="293"/>
      <c r="AM41" s="289"/>
      <c r="AN41" s="291">
        <v>35707</v>
      </c>
      <c r="AO41" s="289">
        <v>33832</v>
      </c>
      <c r="AP41" s="291">
        <v>10783.1</v>
      </c>
      <c r="AQ41" s="289">
        <v>7489</v>
      </c>
      <c r="AR41" s="291">
        <v>2098</v>
      </c>
      <c r="AS41" s="289">
        <v>1506</v>
      </c>
      <c r="AT41" s="291">
        <v>51443</v>
      </c>
      <c r="AU41" s="289">
        <v>49070</v>
      </c>
      <c r="AV41" s="837">
        <f t="shared" si="0"/>
        <v>516976.1</v>
      </c>
      <c r="AW41" s="289">
        <f t="shared" si="0"/>
        <v>469429.35</v>
      </c>
      <c r="AX41" s="837">
        <v>11287203.67</v>
      </c>
      <c r="AY41" s="289">
        <v>10896961.35</v>
      </c>
      <c r="AZ41" s="837">
        <f t="shared" si="1"/>
        <v>11804179.77</v>
      </c>
      <c r="BA41" s="289">
        <f t="shared" si="1"/>
        <v>11366390.699999999</v>
      </c>
    </row>
    <row r="42" spans="1:53" x14ac:dyDescent="0.3">
      <c r="A42" s="62" t="s">
        <v>299</v>
      </c>
      <c r="B42" s="838">
        <v>11763</v>
      </c>
      <c r="C42" s="838">
        <v>9335</v>
      </c>
      <c r="D42" s="304">
        <v>5899</v>
      </c>
      <c r="E42" s="289">
        <v>8893</v>
      </c>
      <c r="F42" s="293">
        <v>1589</v>
      </c>
      <c r="G42" s="289">
        <v>1472</v>
      </c>
      <c r="H42" s="291">
        <v>40805</v>
      </c>
      <c r="I42" s="289">
        <v>38111</v>
      </c>
      <c r="J42" s="291">
        <v>9122</v>
      </c>
      <c r="K42" s="289">
        <v>2377</v>
      </c>
      <c r="L42" s="292">
        <v>4653</v>
      </c>
      <c r="M42" s="289">
        <v>4258</v>
      </c>
      <c r="N42" s="287">
        <v>1533</v>
      </c>
      <c r="O42" s="289">
        <v>2012</v>
      </c>
      <c r="P42" s="287">
        <v>7304</v>
      </c>
      <c r="Q42" s="289">
        <v>8299</v>
      </c>
      <c r="R42" s="287"/>
      <c r="S42" s="289">
        <v>2696</v>
      </c>
      <c r="T42" s="287">
        <v>5261</v>
      </c>
      <c r="U42" s="289">
        <v>6664</v>
      </c>
      <c r="V42" s="287">
        <v>34591</v>
      </c>
      <c r="W42" s="289">
        <v>33351</v>
      </c>
      <c r="X42" s="291">
        <v>52440</v>
      </c>
      <c r="Y42" s="289">
        <v>45660</v>
      </c>
      <c r="Z42" s="291">
        <v>14711</v>
      </c>
      <c r="AA42" s="289">
        <v>13293</v>
      </c>
      <c r="AB42" s="287">
        <v>1592</v>
      </c>
      <c r="AC42" s="289">
        <v>2281.0300000000002</v>
      </c>
      <c r="AD42" s="291">
        <v>8953</v>
      </c>
      <c r="AE42" s="289">
        <v>7819</v>
      </c>
      <c r="AF42" s="291">
        <v>26272</v>
      </c>
      <c r="AG42" s="289">
        <v>24212</v>
      </c>
      <c r="AH42" s="287">
        <v>12385</v>
      </c>
      <c r="AI42" s="289">
        <v>11663</v>
      </c>
      <c r="AJ42" s="291">
        <v>5440</v>
      </c>
      <c r="AK42" s="289">
        <v>5031</v>
      </c>
      <c r="AL42" s="293"/>
      <c r="AM42" s="289"/>
      <c r="AN42" s="291">
        <v>52504</v>
      </c>
      <c r="AO42" s="289">
        <v>54688</v>
      </c>
      <c r="AP42" s="291">
        <v>4912.34</v>
      </c>
      <c r="AQ42" s="289">
        <v>5779</v>
      </c>
      <c r="AR42" s="291">
        <v>3870</v>
      </c>
      <c r="AS42" s="289">
        <v>2458</v>
      </c>
      <c r="AT42" s="291">
        <v>32486</v>
      </c>
      <c r="AU42" s="289">
        <v>19639</v>
      </c>
      <c r="AV42" s="837">
        <f t="shared" si="0"/>
        <v>338085.34</v>
      </c>
      <c r="AW42" s="289">
        <f t="shared" si="0"/>
        <v>309991.03000000003</v>
      </c>
      <c r="AX42" s="837">
        <v>365427.33</v>
      </c>
      <c r="AY42" s="289">
        <v>343312.33</v>
      </c>
      <c r="AZ42" s="837">
        <f t="shared" si="1"/>
        <v>703512.67</v>
      </c>
      <c r="BA42" s="289">
        <f t="shared" si="1"/>
        <v>653303.3600000001</v>
      </c>
    </row>
    <row r="43" spans="1:53" x14ac:dyDescent="0.3">
      <c r="A43" s="839" t="s">
        <v>300</v>
      </c>
      <c r="B43" s="838"/>
      <c r="C43" s="838"/>
      <c r="D43" s="304"/>
      <c r="E43" s="289"/>
      <c r="F43" s="293"/>
      <c r="G43" s="289"/>
      <c r="H43" s="291"/>
      <c r="I43" s="289"/>
      <c r="J43" s="291"/>
      <c r="K43" s="289"/>
      <c r="L43" s="292"/>
      <c r="M43" s="289"/>
      <c r="N43" s="287"/>
      <c r="O43" s="289"/>
      <c r="P43" s="287"/>
      <c r="Q43" s="289"/>
      <c r="R43" s="287"/>
      <c r="S43" s="289"/>
      <c r="T43" s="287"/>
      <c r="U43" s="289"/>
      <c r="V43" s="287"/>
      <c r="W43" s="289"/>
      <c r="X43" s="291"/>
      <c r="Y43" s="289"/>
      <c r="Z43" s="291"/>
      <c r="AA43" s="289"/>
      <c r="AB43" s="287"/>
      <c r="AC43" s="289"/>
      <c r="AD43" s="291"/>
      <c r="AE43" s="289"/>
      <c r="AF43" s="291"/>
      <c r="AG43" s="289"/>
      <c r="AH43" s="287"/>
      <c r="AI43" s="289"/>
      <c r="AJ43" s="291"/>
      <c r="AK43" s="289"/>
      <c r="AL43" s="293"/>
      <c r="AM43" s="289"/>
      <c r="AN43" s="291"/>
      <c r="AO43" s="289"/>
      <c r="AP43" s="291"/>
      <c r="AQ43" s="289"/>
      <c r="AR43" s="291"/>
      <c r="AS43" s="289"/>
      <c r="AT43" s="291"/>
      <c r="AU43" s="289"/>
      <c r="AV43" s="837">
        <f t="shared" si="0"/>
        <v>0</v>
      </c>
      <c r="AW43" s="289">
        <f t="shared" si="0"/>
        <v>0</v>
      </c>
      <c r="AX43" s="837"/>
      <c r="AY43" s="289"/>
      <c r="AZ43" s="837">
        <f t="shared" si="1"/>
        <v>0</v>
      </c>
      <c r="BA43" s="289">
        <f t="shared" si="1"/>
        <v>0</v>
      </c>
    </row>
    <row r="44" spans="1:53" x14ac:dyDescent="0.3">
      <c r="A44" s="839" t="s">
        <v>301</v>
      </c>
      <c r="B44" s="838"/>
      <c r="C44" s="838"/>
      <c r="D44" s="304"/>
      <c r="E44" s="289"/>
      <c r="F44" s="293"/>
      <c r="G44" s="289"/>
      <c r="H44" s="291"/>
      <c r="I44" s="289"/>
      <c r="J44" s="291"/>
      <c r="K44" s="289"/>
      <c r="L44" s="292"/>
      <c r="M44" s="289"/>
      <c r="N44" s="287">
        <v>1112</v>
      </c>
      <c r="O44" s="289">
        <v>2552</v>
      </c>
      <c r="P44" s="287"/>
      <c r="Q44" s="289"/>
      <c r="R44" s="287"/>
      <c r="S44" s="289">
        <v>240</v>
      </c>
      <c r="T44" s="287"/>
      <c r="U44" s="289"/>
      <c r="V44" s="287"/>
      <c r="W44" s="289"/>
      <c r="X44" s="291">
        <v>49</v>
      </c>
      <c r="Y44" s="289"/>
      <c r="Z44" s="291"/>
      <c r="AA44" s="289"/>
      <c r="AB44" s="287"/>
      <c r="AC44" s="289"/>
      <c r="AD44" s="291"/>
      <c r="AE44" s="289">
        <v>2822</v>
      </c>
      <c r="AF44" s="291"/>
      <c r="AG44" s="289"/>
      <c r="AH44" s="287"/>
      <c r="AI44" s="289"/>
      <c r="AJ44" s="291"/>
      <c r="AK44" s="289"/>
      <c r="AL44" s="293"/>
      <c r="AM44" s="289"/>
      <c r="AN44" s="291"/>
      <c r="AO44" s="289"/>
      <c r="AP44" s="291"/>
      <c r="AQ44" s="289"/>
      <c r="AR44" s="291"/>
      <c r="AS44" s="289"/>
      <c r="AT44" s="291"/>
      <c r="AU44" s="289"/>
      <c r="AV44" s="837">
        <f t="shared" si="0"/>
        <v>1161</v>
      </c>
      <c r="AW44" s="289">
        <f t="shared" si="0"/>
        <v>5614</v>
      </c>
      <c r="AX44" s="837"/>
      <c r="AY44" s="289"/>
      <c r="AZ44" s="837">
        <f t="shared" si="1"/>
        <v>1161</v>
      </c>
      <c r="BA44" s="289">
        <f t="shared" si="1"/>
        <v>5614</v>
      </c>
    </row>
    <row r="45" spans="1:53" x14ac:dyDescent="0.3">
      <c r="A45" s="62" t="s">
        <v>302</v>
      </c>
      <c r="B45" s="838">
        <v>28402</v>
      </c>
      <c r="C45" s="838">
        <v>28940</v>
      </c>
      <c r="D45" s="304">
        <v>1321</v>
      </c>
      <c r="E45" s="289">
        <v>1522</v>
      </c>
      <c r="F45" s="293">
        <v>2176</v>
      </c>
      <c r="G45" s="289">
        <v>2718</v>
      </c>
      <c r="H45" s="291">
        <v>11201</v>
      </c>
      <c r="I45" s="289">
        <v>10617</v>
      </c>
      <c r="J45" s="291">
        <v>4816</v>
      </c>
      <c r="K45" s="289">
        <v>5241</v>
      </c>
      <c r="L45" s="292">
        <v>21293</v>
      </c>
      <c r="M45" s="289">
        <v>16837</v>
      </c>
      <c r="N45" s="287">
        <v>2182</v>
      </c>
      <c r="O45" s="289">
        <v>5706</v>
      </c>
      <c r="P45" s="287">
        <v>4512</v>
      </c>
      <c r="Q45" s="289">
        <v>6077</v>
      </c>
      <c r="R45" s="287"/>
      <c r="S45" s="289">
        <v>20214</v>
      </c>
      <c r="T45" s="287">
        <v>3450</v>
      </c>
      <c r="U45" s="289">
        <v>3627</v>
      </c>
      <c r="V45" s="287">
        <v>50806</v>
      </c>
      <c r="W45" s="289">
        <v>43773</v>
      </c>
      <c r="X45" s="291">
        <v>54109</v>
      </c>
      <c r="Y45" s="289">
        <v>91620</v>
      </c>
      <c r="Z45" s="291">
        <v>13220</v>
      </c>
      <c r="AA45" s="289">
        <v>12233</v>
      </c>
      <c r="AB45" s="287">
        <v>21034</v>
      </c>
      <c r="AC45" s="289">
        <v>18636.7</v>
      </c>
      <c r="AD45" s="291">
        <v>10463</v>
      </c>
      <c r="AE45" s="289">
        <v>9015</v>
      </c>
      <c r="AF45" s="291">
        <v>41666</v>
      </c>
      <c r="AG45" s="289">
        <v>31223</v>
      </c>
      <c r="AH45" s="287">
        <v>8142</v>
      </c>
      <c r="AI45" s="289">
        <v>7809</v>
      </c>
      <c r="AJ45" s="291">
        <v>10072</v>
      </c>
      <c r="AK45" s="289">
        <v>11822</v>
      </c>
      <c r="AL45" s="293"/>
      <c r="AM45" s="289"/>
      <c r="AN45" s="291">
        <v>330249</v>
      </c>
      <c r="AO45" s="289">
        <v>252716</v>
      </c>
      <c r="AP45" s="291">
        <v>15051.85</v>
      </c>
      <c r="AQ45" s="289">
        <v>7192</v>
      </c>
      <c r="AR45" s="291">
        <v>8639</v>
      </c>
      <c r="AS45" s="289">
        <v>9155</v>
      </c>
      <c r="AT45" s="291">
        <v>14663</v>
      </c>
      <c r="AU45" s="289">
        <v>23740</v>
      </c>
      <c r="AV45" s="837">
        <f t="shared" si="0"/>
        <v>657467.85</v>
      </c>
      <c r="AW45" s="289">
        <f t="shared" si="0"/>
        <v>620433.69999999995</v>
      </c>
      <c r="AX45" s="837">
        <v>2087616.55</v>
      </c>
      <c r="AY45" s="289">
        <v>1935169.24</v>
      </c>
      <c r="AZ45" s="837">
        <f t="shared" si="1"/>
        <v>2745084.4</v>
      </c>
      <c r="BA45" s="289">
        <f t="shared" si="1"/>
        <v>2555602.94</v>
      </c>
    </row>
    <row r="46" spans="1:53" x14ac:dyDescent="0.3">
      <c r="A46" s="62" t="s">
        <v>303</v>
      </c>
      <c r="B46" s="838">
        <v>152348</v>
      </c>
      <c r="C46" s="838">
        <v>267865</v>
      </c>
      <c r="D46" s="304">
        <v>12779</v>
      </c>
      <c r="E46" s="289">
        <v>19984</v>
      </c>
      <c r="F46" s="293">
        <v>40430</v>
      </c>
      <c r="G46" s="289">
        <v>51333</v>
      </c>
      <c r="H46" s="291">
        <v>243325</v>
      </c>
      <c r="I46" s="289">
        <v>225235</v>
      </c>
      <c r="J46" s="291">
        <v>42563</v>
      </c>
      <c r="K46" s="289">
        <v>50695</v>
      </c>
      <c r="L46" s="292">
        <v>50874</v>
      </c>
      <c r="M46" s="289">
        <v>46374</v>
      </c>
      <c r="N46" s="287">
        <v>37285</v>
      </c>
      <c r="O46" s="289">
        <v>37885</v>
      </c>
      <c r="P46" s="287">
        <v>43774</v>
      </c>
      <c r="Q46" s="289">
        <v>39351</v>
      </c>
      <c r="R46" s="287"/>
      <c r="S46" s="289">
        <v>80331</v>
      </c>
      <c r="T46" s="287">
        <v>24787</v>
      </c>
      <c r="U46" s="289">
        <v>27672</v>
      </c>
      <c r="V46" s="287">
        <v>405707</v>
      </c>
      <c r="W46" s="289">
        <v>514643</v>
      </c>
      <c r="X46" s="291">
        <v>442861</v>
      </c>
      <c r="Y46" s="289">
        <v>495727</v>
      </c>
      <c r="Z46" s="291">
        <v>55739</v>
      </c>
      <c r="AA46" s="289">
        <v>57271</v>
      </c>
      <c r="AB46" s="287">
        <v>68155</v>
      </c>
      <c r="AC46" s="289">
        <v>73300</v>
      </c>
      <c r="AD46" s="291">
        <v>138533</v>
      </c>
      <c r="AE46" s="289">
        <v>140558</v>
      </c>
      <c r="AF46" s="291">
        <v>274747</v>
      </c>
      <c r="AG46" s="289">
        <v>304058</v>
      </c>
      <c r="AH46" s="287">
        <v>121938</v>
      </c>
      <c r="AI46" s="289">
        <v>125777</v>
      </c>
      <c r="AJ46" s="291">
        <v>113354</v>
      </c>
      <c r="AK46" s="289">
        <v>109794</v>
      </c>
      <c r="AL46" s="293"/>
      <c r="AM46" s="289"/>
      <c r="AN46" s="291">
        <v>455119</v>
      </c>
      <c r="AO46" s="289">
        <v>444573</v>
      </c>
      <c r="AP46" s="291">
        <v>39264.089999999997</v>
      </c>
      <c r="AQ46" s="289">
        <v>37868</v>
      </c>
      <c r="AR46" s="291">
        <v>61141</v>
      </c>
      <c r="AS46" s="289">
        <v>52078</v>
      </c>
      <c r="AT46" s="291">
        <v>187156</v>
      </c>
      <c r="AU46" s="289">
        <v>268001</v>
      </c>
      <c r="AV46" s="837">
        <f t="shared" si="0"/>
        <v>3011879.09</v>
      </c>
      <c r="AW46" s="289">
        <f t="shared" si="0"/>
        <v>3470373</v>
      </c>
      <c r="AX46" s="837">
        <v>13910491.640000001</v>
      </c>
      <c r="AY46" s="289">
        <v>15626695.880000001</v>
      </c>
      <c r="AZ46" s="837">
        <f t="shared" si="1"/>
        <v>16922370.73</v>
      </c>
      <c r="BA46" s="289">
        <f t="shared" si="1"/>
        <v>19097068.880000003</v>
      </c>
    </row>
    <row r="47" spans="1:53" s="588" customFormat="1" ht="18" x14ac:dyDescent="0.35">
      <c r="A47" s="970" t="s">
        <v>304</v>
      </c>
      <c r="B47" s="971">
        <f>SUM(B45:B46)</f>
        <v>180750</v>
      </c>
      <c r="C47" s="971">
        <f>SUM(C45:C46)</f>
        <v>296805</v>
      </c>
      <c r="D47" s="984">
        <f t="shared" ref="D47" si="24">SUM(D45:D46)</f>
        <v>14100</v>
      </c>
      <c r="E47" s="975">
        <f t="shared" ref="E47:L47" si="25">SUM(E45:E46)</f>
        <v>21506</v>
      </c>
      <c r="F47" s="979">
        <f t="shared" si="25"/>
        <v>42606</v>
      </c>
      <c r="G47" s="975">
        <f t="shared" si="25"/>
        <v>54051</v>
      </c>
      <c r="H47" s="979">
        <f t="shared" ref="H47" si="26">SUM(H45:H46)</f>
        <v>254526</v>
      </c>
      <c r="I47" s="975">
        <f t="shared" si="25"/>
        <v>235852</v>
      </c>
      <c r="J47" s="979">
        <f t="shared" ref="J47" si="27">SUM(J45:J46)</f>
        <v>47379</v>
      </c>
      <c r="K47" s="975">
        <f t="shared" si="25"/>
        <v>55936</v>
      </c>
      <c r="L47" s="984">
        <f t="shared" si="25"/>
        <v>72167</v>
      </c>
      <c r="M47" s="975">
        <f t="shared" ref="M47:AE47" si="28">SUM(M45:M46)</f>
        <v>63211</v>
      </c>
      <c r="N47" s="979">
        <f t="shared" ref="N47" si="29">SUM(N45:N46)</f>
        <v>39467</v>
      </c>
      <c r="O47" s="975">
        <f t="shared" si="28"/>
        <v>43591</v>
      </c>
      <c r="P47" s="979">
        <f t="shared" ref="P47" si="30">SUM(P45:P46)</f>
        <v>48286</v>
      </c>
      <c r="Q47" s="975">
        <f t="shared" si="28"/>
        <v>45428</v>
      </c>
      <c r="R47" s="979">
        <f t="shared" ref="R47" si="31">SUM(R45:R46)</f>
        <v>0</v>
      </c>
      <c r="S47" s="975">
        <f t="shared" si="28"/>
        <v>100545</v>
      </c>
      <c r="T47" s="979">
        <f t="shared" ref="T47" si="32">SUM(T45:T46)</f>
        <v>28237</v>
      </c>
      <c r="U47" s="975">
        <f t="shared" si="28"/>
        <v>31299</v>
      </c>
      <c r="V47" s="979">
        <f t="shared" ref="V47:Z47" si="33">SUM(V45:V46)</f>
        <v>456513</v>
      </c>
      <c r="W47" s="975">
        <v>558416</v>
      </c>
      <c r="X47" s="979">
        <f t="shared" si="33"/>
        <v>496970</v>
      </c>
      <c r="Y47" s="975">
        <v>587347</v>
      </c>
      <c r="Z47" s="979">
        <f t="shared" si="33"/>
        <v>68959</v>
      </c>
      <c r="AA47" s="975">
        <f t="shared" si="28"/>
        <v>69504</v>
      </c>
      <c r="AB47" s="979">
        <f t="shared" ref="AB47" si="34">SUM(AB45:AB46)</f>
        <v>89189</v>
      </c>
      <c r="AC47" s="975">
        <f t="shared" si="28"/>
        <v>91936.7</v>
      </c>
      <c r="AD47" s="979">
        <f t="shared" ref="AD47" si="35">SUM(AD45:AD46)</f>
        <v>148996</v>
      </c>
      <c r="AE47" s="975">
        <f t="shared" si="28"/>
        <v>149573</v>
      </c>
      <c r="AF47" s="1012">
        <f>AF45+AF46</f>
        <v>316413</v>
      </c>
      <c r="AG47" s="973">
        <f>AG45+AG46</f>
        <v>335281</v>
      </c>
      <c r="AH47" s="1008">
        <f>AH45+AH46</f>
        <v>130080</v>
      </c>
      <c r="AI47" s="985">
        <v>133586</v>
      </c>
      <c r="AJ47" s="1012">
        <f>AJ45+AJ46</f>
        <v>123426</v>
      </c>
      <c r="AK47" s="973">
        <v>121615</v>
      </c>
      <c r="AL47" s="1008"/>
      <c r="AM47" s="973"/>
      <c r="AN47" s="1012">
        <f>AN45+AN46</f>
        <v>785368</v>
      </c>
      <c r="AO47" s="973">
        <v>697289</v>
      </c>
      <c r="AP47" s="1012">
        <f>AP45+AP46</f>
        <v>54315.939999999995</v>
      </c>
      <c r="AQ47" s="973">
        <v>45060</v>
      </c>
      <c r="AR47" s="1012">
        <f>AR45+AR46</f>
        <v>69780</v>
      </c>
      <c r="AS47" s="973">
        <v>61233</v>
      </c>
      <c r="AT47" s="1012">
        <f>AT45+AT46</f>
        <v>201819</v>
      </c>
      <c r="AU47" s="973">
        <v>291740</v>
      </c>
      <c r="AV47" s="972"/>
      <c r="AW47" s="973"/>
      <c r="AX47" s="972">
        <v>15998108.289999999</v>
      </c>
      <c r="AY47" s="973">
        <v>17561865.120000001</v>
      </c>
      <c r="AZ47" s="972">
        <f t="shared" si="1"/>
        <v>15998108.289999999</v>
      </c>
      <c r="BA47" s="973">
        <f t="shared" si="1"/>
        <v>17561865.120000001</v>
      </c>
    </row>
    <row r="48" spans="1:53" x14ac:dyDescent="0.3">
      <c r="A48" s="62" t="s">
        <v>305</v>
      </c>
      <c r="B48" s="838">
        <v>136060</v>
      </c>
      <c r="C48" s="838">
        <v>220380</v>
      </c>
      <c r="D48" s="304">
        <v>9473</v>
      </c>
      <c r="E48" s="289">
        <v>18049</v>
      </c>
      <c r="F48" s="293">
        <v>34978</v>
      </c>
      <c r="G48" s="289">
        <v>39427</v>
      </c>
      <c r="H48" s="291">
        <v>240858</v>
      </c>
      <c r="I48" s="289">
        <v>183393</v>
      </c>
      <c r="J48" s="291">
        <v>31925</v>
      </c>
      <c r="K48" s="289">
        <v>34745</v>
      </c>
      <c r="L48" s="292">
        <v>59026</v>
      </c>
      <c r="M48" s="289">
        <v>51637</v>
      </c>
      <c r="N48" s="287">
        <v>16075</v>
      </c>
      <c r="O48" s="289">
        <v>16603</v>
      </c>
      <c r="P48" s="287">
        <v>30074</v>
      </c>
      <c r="Q48" s="289">
        <v>30653</v>
      </c>
      <c r="R48" s="287"/>
      <c r="S48" s="289">
        <v>70794</v>
      </c>
      <c r="T48" s="287">
        <v>25432</v>
      </c>
      <c r="U48" s="289">
        <v>28459</v>
      </c>
      <c r="V48" s="287">
        <v>552350</v>
      </c>
      <c r="W48" s="289">
        <v>624620</v>
      </c>
      <c r="X48" s="291">
        <v>433358</v>
      </c>
      <c r="Y48" s="289">
        <v>516628</v>
      </c>
      <c r="Z48" s="291">
        <v>23517</v>
      </c>
      <c r="AA48" s="289">
        <v>27725</v>
      </c>
      <c r="AB48" s="287">
        <v>64425</v>
      </c>
      <c r="AC48" s="289">
        <v>76401.7</v>
      </c>
      <c r="AD48" s="291">
        <v>164369</v>
      </c>
      <c r="AE48" s="289">
        <v>163567</v>
      </c>
      <c r="AF48" s="291">
        <v>312712</v>
      </c>
      <c r="AG48" s="289">
        <v>371666</v>
      </c>
      <c r="AH48" s="287">
        <v>114333</v>
      </c>
      <c r="AI48" s="289">
        <v>124863</v>
      </c>
      <c r="AJ48" s="291">
        <v>92337</v>
      </c>
      <c r="AK48" s="289">
        <v>87776</v>
      </c>
      <c r="AL48" s="293"/>
      <c r="AM48" s="289"/>
      <c r="AN48" s="291">
        <v>404517</v>
      </c>
      <c r="AO48" s="289">
        <v>421039</v>
      </c>
      <c r="AP48" s="291">
        <v>26300.14</v>
      </c>
      <c r="AQ48" s="289">
        <v>27205</v>
      </c>
      <c r="AR48" s="291">
        <v>26431</v>
      </c>
      <c r="AS48" s="289">
        <v>29715</v>
      </c>
      <c r="AT48" s="291">
        <v>248326</v>
      </c>
      <c r="AU48" s="289">
        <v>195459</v>
      </c>
      <c r="AV48" s="837">
        <f t="shared" si="0"/>
        <v>3046876.14</v>
      </c>
      <c r="AW48" s="289">
        <f t="shared" si="0"/>
        <v>3360804.7</v>
      </c>
      <c r="AX48" s="837">
        <v>5876857.5800000001</v>
      </c>
      <c r="AY48" s="289">
        <v>5113773.34</v>
      </c>
      <c r="AZ48" s="837">
        <f t="shared" si="1"/>
        <v>8923733.7200000007</v>
      </c>
      <c r="BA48" s="289">
        <f t="shared" si="1"/>
        <v>8474578.0399999991</v>
      </c>
    </row>
    <row r="49" spans="1:53" x14ac:dyDescent="0.3">
      <c r="A49" s="62" t="s">
        <v>306</v>
      </c>
      <c r="B49" s="838">
        <v>11936</v>
      </c>
      <c r="C49" s="838">
        <v>12687</v>
      </c>
      <c r="D49" s="304">
        <v>210</v>
      </c>
      <c r="E49" s="289">
        <v>196</v>
      </c>
      <c r="F49" s="293">
        <v>1082</v>
      </c>
      <c r="G49" s="289">
        <v>1542</v>
      </c>
      <c r="H49" s="291">
        <v>30052</v>
      </c>
      <c r="I49" s="289">
        <v>22174</v>
      </c>
      <c r="J49" s="291">
        <v>5315</v>
      </c>
      <c r="K49" s="289">
        <v>5793</v>
      </c>
      <c r="L49" s="292">
        <v>1469</v>
      </c>
      <c r="M49" s="289">
        <v>1547</v>
      </c>
      <c r="N49" s="287">
        <v>13463</v>
      </c>
      <c r="O49" s="289">
        <v>11807</v>
      </c>
      <c r="P49" s="287">
        <v>230</v>
      </c>
      <c r="Q49" s="289">
        <v>466</v>
      </c>
      <c r="R49" s="287"/>
      <c r="S49" s="289">
        <v>4404</v>
      </c>
      <c r="T49" s="287">
        <v>623</v>
      </c>
      <c r="U49" s="289">
        <v>494</v>
      </c>
      <c r="V49" s="287">
        <v>8383</v>
      </c>
      <c r="W49" s="289">
        <v>7629</v>
      </c>
      <c r="X49" s="291">
        <v>1929</v>
      </c>
      <c r="Y49" s="289">
        <v>2556</v>
      </c>
      <c r="Z49" s="291">
        <v>815</v>
      </c>
      <c r="AA49" s="289">
        <v>901</v>
      </c>
      <c r="AB49" s="287">
        <v>125</v>
      </c>
      <c r="AC49" s="289">
        <v>177.9</v>
      </c>
      <c r="AD49" s="291">
        <v>45576</v>
      </c>
      <c r="AE49" s="289">
        <v>34056</v>
      </c>
      <c r="AF49" s="291">
        <v>5189</v>
      </c>
      <c r="AG49" s="289">
        <v>5368</v>
      </c>
      <c r="AH49" s="287">
        <v>10121</v>
      </c>
      <c r="AI49" s="289">
        <v>8555</v>
      </c>
      <c r="AJ49" s="291">
        <v>6344</v>
      </c>
      <c r="AK49" s="289">
        <v>7158</v>
      </c>
      <c r="AL49" s="293"/>
      <c r="AM49" s="289"/>
      <c r="AN49" s="291">
        <v>38816</v>
      </c>
      <c r="AO49" s="289">
        <v>37134</v>
      </c>
      <c r="AP49" s="291">
        <v>4340.8599999999997</v>
      </c>
      <c r="AQ49" s="289">
        <v>1246</v>
      </c>
      <c r="AR49" s="291">
        <v>409</v>
      </c>
      <c r="AS49" s="289">
        <v>162</v>
      </c>
      <c r="AT49" s="291">
        <v>8050</v>
      </c>
      <c r="AU49" s="289">
        <v>6758</v>
      </c>
      <c r="AV49" s="837">
        <f t="shared" si="0"/>
        <v>194477.86</v>
      </c>
      <c r="AW49" s="289">
        <f t="shared" si="0"/>
        <v>172810.9</v>
      </c>
      <c r="AX49" s="837">
        <v>1494305.6</v>
      </c>
      <c r="AY49" s="289">
        <v>1494305.6</v>
      </c>
      <c r="AZ49" s="837">
        <f t="shared" si="1"/>
        <v>1688783.46</v>
      </c>
      <c r="BA49" s="289">
        <f t="shared" si="1"/>
        <v>1667116.5</v>
      </c>
    </row>
    <row r="50" spans="1:53" s="588" customFormat="1" ht="18" x14ac:dyDescent="0.35">
      <c r="A50" s="970" t="s">
        <v>307</v>
      </c>
      <c r="B50" s="971">
        <f>SUM(B48:B49)</f>
        <v>147996</v>
      </c>
      <c r="C50" s="971">
        <f>SUM(C48:C49)</f>
        <v>233067</v>
      </c>
      <c r="D50" s="578">
        <f t="shared" ref="D50" si="36">SUM(D48:D49)</f>
        <v>9683</v>
      </c>
      <c r="E50" s="973">
        <f t="shared" ref="E50:U50" si="37">SUM(E48:E49)</f>
        <v>18245</v>
      </c>
      <c r="F50" s="1008">
        <f t="shared" si="37"/>
        <v>36060</v>
      </c>
      <c r="G50" s="973">
        <f t="shared" si="37"/>
        <v>40969</v>
      </c>
      <c r="H50" s="1012">
        <f t="shared" ref="H50" si="38">SUM(H48:H49)</f>
        <v>270910</v>
      </c>
      <c r="I50" s="973">
        <f t="shared" si="37"/>
        <v>205567</v>
      </c>
      <c r="J50" s="1012">
        <f t="shared" ref="J50" si="39">SUM(J48:J49)</f>
        <v>37240</v>
      </c>
      <c r="K50" s="973">
        <f t="shared" si="37"/>
        <v>40538</v>
      </c>
      <c r="L50" s="985">
        <f t="shared" ref="L50" si="40">SUM(L48:L49)</f>
        <v>60495</v>
      </c>
      <c r="M50" s="973">
        <f t="shared" si="37"/>
        <v>53184</v>
      </c>
      <c r="N50" s="980">
        <f t="shared" ref="N50:P50" si="41">SUM(N48:N49)</f>
        <v>29538</v>
      </c>
      <c r="O50" s="973">
        <f t="shared" si="37"/>
        <v>28410</v>
      </c>
      <c r="P50" s="980">
        <f t="shared" si="41"/>
        <v>30304</v>
      </c>
      <c r="Q50" s="973">
        <f t="shared" si="37"/>
        <v>31119</v>
      </c>
      <c r="R50" s="980">
        <f t="shared" ref="R50" si="42">SUM(R48:R49)</f>
        <v>0</v>
      </c>
      <c r="S50" s="973">
        <f t="shared" si="37"/>
        <v>75198</v>
      </c>
      <c r="T50" s="980">
        <f t="shared" ref="T50" si="43">SUM(T48:T49)</f>
        <v>26055</v>
      </c>
      <c r="U50" s="973">
        <f t="shared" si="37"/>
        <v>28953</v>
      </c>
      <c r="V50" s="980">
        <f>SUM(V48:V49)</f>
        <v>560733</v>
      </c>
      <c r="W50" s="973">
        <v>632249</v>
      </c>
      <c r="X50" s="1012">
        <f>SUM(X48:X49)</f>
        <v>435287</v>
      </c>
      <c r="Y50" s="973">
        <f>SUM(Y48:Y49)</f>
        <v>519184</v>
      </c>
      <c r="Z50" s="1012">
        <f t="shared" ref="Z50" si="44">SUM(Z48:Z49)</f>
        <v>24332</v>
      </c>
      <c r="AA50" s="973">
        <f t="shared" ref="AA50:AK50" si="45">SUM(AA48:AA49)</f>
        <v>28626</v>
      </c>
      <c r="AB50" s="1012">
        <f t="shared" ref="AB50" si="46">SUM(AB48:AB49)</f>
        <v>64550</v>
      </c>
      <c r="AC50" s="973">
        <f t="shared" si="45"/>
        <v>76579.599999999991</v>
      </c>
      <c r="AD50" s="1012">
        <f t="shared" ref="AD50" si="47">SUM(AD48:AD49)</f>
        <v>209945</v>
      </c>
      <c r="AE50" s="973">
        <f t="shared" si="45"/>
        <v>197623</v>
      </c>
      <c r="AF50" s="1012">
        <f t="shared" ref="AF50" si="48">SUM(AF48:AF49)</f>
        <v>317901</v>
      </c>
      <c r="AG50" s="973">
        <f t="shared" si="45"/>
        <v>377034</v>
      </c>
      <c r="AH50" s="1012">
        <f t="shared" ref="AH50" si="49">SUM(AH48:AH49)</f>
        <v>124454</v>
      </c>
      <c r="AI50" s="973">
        <f t="shared" si="45"/>
        <v>133418</v>
      </c>
      <c r="AJ50" s="1012">
        <f t="shared" ref="AJ50" si="50">SUM(AJ48:AJ49)</f>
        <v>98681</v>
      </c>
      <c r="AK50" s="973">
        <f t="shared" si="45"/>
        <v>94934</v>
      </c>
      <c r="AL50" s="1008"/>
      <c r="AM50" s="973"/>
      <c r="AN50" s="1008">
        <f>SUM(AN48:AN49)</f>
        <v>443333</v>
      </c>
      <c r="AO50" s="985">
        <f>SUM(AO48:AO49)</f>
        <v>458173</v>
      </c>
      <c r="AP50" s="1008">
        <f t="shared" ref="AP50" si="51">SUM(AP48:AP49)</f>
        <v>30641</v>
      </c>
      <c r="AQ50" s="985">
        <f t="shared" ref="AQ50:AU50" si="52">SUM(AQ48:AQ49)</f>
        <v>28451</v>
      </c>
      <c r="AR50" s="1012">
        <f t="shared" ref="AR50" si="53">SUM(AR48:AR49)</f>
        <v>26840</v>
      </c>
      <c r="AS50" s="973">
        <f t="shared" si="52"/>
        <v>29877</v>
      </c>
      <c r="AT50" s="1012">
        <f t="shared" ref="AT50" si="54">SUM(AT48:AT49)</f>
        <v>256376</v>
      </c>
      <c r="AU50" s="973">
        <f t="shared" si="52"/>
        <v>202217</v>
      </c>
      <c r="AV50" s="974">
        <f t="shared" si="0"/>
        <v>3241354</v>
      </c>
      <c r="AW50" s="976">
        <f t="shared" si="0"/>
        <v>3533615.6</v>
      </c>
      <c r="AX50" s="972">
        <v>7371163.1799999997</v>
      </c>
      <c r="AY50" s="973">
        <f>SUM(AY48:AY49)</f>
        <v>6608078.9399999995</v>
      </c>
      <c r="AZ50" s="972">
        <f t="shared" si="1"/>
        <v>10612517.18</v>
      </c>
      <c r="BA50" s="973">
        <f t="shared" si="1"/>
        <v>10141694.539999999</v>
      </c>
    </row>
    <row r="51" spans="1:53" s="588" customFormat="1" ht="18" x14ac:dyDescent="0.35">
      <c r="A51" s="970" t="s">
        <v>308</v>
      </c>
      <c r="B51" s="971">
        <f t="shared" ref="B51" si="55">B47-B50</f>
        <v>32754</v>
      </c>
      <c r="C51" s="971">
        <f t="shared" ref="C51:AE51" si="56">C47-C50</f>
        <v>63738</v>
      </c>
      <c r="D51" s="578">
        <f t="shared" ref="D51" si="57">D47-D50</f>
        <v>4417</v>
      </c>
      <c r="E51" s="973">
        <f t="shared" si="56"/>
        <v>3261</v>
      </c>
      <c r="F51" s="1008">
        <f t="shared" si="56"/>
        <v>6546</v>
      </c>
      <c r="G51" s="973">
        <f t="shared" si="56"/>
        <v>13082</v>
      </c>
      <c r="H51" s="1012">
        <f t="shared" ref="H51" si="58">H47-H50</f>
        <v>-16384</v>
      </c>
      <c r="I51" s="973">
        <f t="shared" si="56"/>
        <v>30285</v>
      </c>
      <c r="J51" s="1012">
        <f t="shared" ref="J51" si="59">J47-J50</f>
        <v>10139</v>
      </c>
      <c r="K51" s="973">
        <f t="shared" si="56"/>
        <v>15398</v>
      </c>
      <c r="L51" s="985">
        <f t="shared" ref="L51" si="60">L47-L50</f>
        <v>11672</v>
      </c>
      <c r="M51" s="973">
        <f t="shared" si="56"/>
        <v>10027</v>
      </c>
      <c r="N51" s="980">
        <f t="shared" ref="N51" si="61">N47-N50</f>
        <v>9929</v>
      </c>
      <c r="O51" s="973">
        <f t="shared" si="56"/>
        <v>15181</v>
      </c>
      <c r="P51" s="980">
        <f t="shared" ref="P51" si="62">P47-P50</f>
        <v>17982</v>
      </c>
      <c r="Q51" s="973">
        <f t="shared" si="56"/>
        <v>14309</v>
      </c>
      <c r="R51" s="980">
        <f t="shared" ref="R51" si="63">R47-R50</f>
        <v>0</v>
      </c>
      <c r="S51" s="973">
        <f t="shared" si="56"/>
        <v>25347</v>
      </c>
      <c r="T51" s="980">
        <f t="shared" ref="T51" si="64">T47-T50</f>
        <v>2182</v>
      </c>
      <c r="U51" s="973">
        <f t="shared" si="56"/>
        <v>2346</v>
      </c>
      <c r="V51" s="980">
        <f t="shared" ref="V51:X51" si="65">V47-V50</f>
        <v>-104220</v>
      </c>
      <c r="W51" s="973">
        <v>73833</v>
      </c>
      <c r="X51" s="1012">
        <f t="shared" si="65"/>
        <v>61683</v>
      </c>
      <c r="Y51" s="973">
        <f t="shared" si="56"/>
        <v>68163</v>
      </c>
      <c r="Z51" s="1012">
        <f t="shared" ref="Z51" si="66">Z47-Z50</f>
        <v>44627</v>
      </c>
      <c r="AA51" s="973">
        <f t="shared" si="56"/>
        <v>40878</v>
      </c>
      <c r="AB51" s="1012">
        <f t="shared" ref="AB51" si="67">AB47-AB50</f>
        <v>24639</v>
      </c>
      <c r="AC51" s="973">
        <f t="shared" si="56"/>
        <v>15357.100000000006</v>
      </c>
      <c r="AD51" s="1012">
        <f t="shared" ref="AD51" si="68">AD47-AD50</f>
        <v>-60949</v>
      </c>
      <c r="AE51" s="973">
        <f t="shared" si="56"/>
        <v>-48050</v>
      </c>
      <c r="AF51" s="1012">
        <f>AF47-AF50</f>
        <v>-1488</v>
      </c>
      <c r="AG51" s="973">
        <v>-41753</v>
      </c>
      <c r="AH51" s="980">
        <f>AH47-AH50</f>
        <v>5626</v>
      </c>
      <c r="AI51" s="973">
        <v>168</v>
      </c>
      <c r="AJ51" s="1012">
        <f>AJ47-AJ50</f>
        <v>24745</v>
      </c>
      <c r="AK51" s="973">
        <v>26681</v>
      </c>
      <c r="AL51" s="1008">
        <f>AL47-AL50</f>
        <v>0</v>
      </c>
      <c r="AM51" s="973">
        <f>AM47-AM50</f>
        <v>0</v>
      </c>
      <c r="AN51" s="1012">
        <f>AN47-AN50</f>
        <v>342035</v>
      </c>
      <c r="AO51" s="973">
        <f>AO47-AO50</f>
        <v>239116</v>
      </c>
      <c r="AP51" s="1012">
        <f t="shared" ref="AP51" si="69">AP47-AP50</f>
        <v>23674.939999999995</v>
      </c>
      <c r="AQ51" s="973">
        <f t="shared" ref="AQ51:AU51" si="70">AQ47-AQ50</f>
        <v>16609</v>
      </c>
      <c r="AR51" s="1012">
        <f t="shared" ref="AR51" si="71">AR47-AR50</f>
        <v>42940</v>
      </c>
      <c r="AS51" s="973">
        <f t="shared" si="70"/>
        <v>31356</v>
      </c>
      <c r="AT51" s="1012">
        <f t="shared" ref="AT51" si="72">AT47-AT50</f>
        <v>-54557</v>
      </c>
      <c r="AU51" s="973">
        <f t="shared" si="70"/>
        <v>89523</v>
      </c>
      <c r="AV51" s="974">
        <f t="shared" si="0"/>
        <v>427992.94</v>
      </c>
      <c r="AW51" s="976">
        <f t="shared" si="0"/>
        <v>704855.1</v>
      </c>
      <c r="AX51" s="972">
        <v>8626945.1099999994</v>
      </c>
      <c r="AY51" s="973">
        <f>AY47-AY50</f>
        <v>10953786.180000002</v>
      </c>
      <c r="AZ51" s="972">
        <f t="shared" si="1"/>
        <v>9054938.0499999989</v>
      </c>
      <c r="BA51" s="973">
        <f t="shared" si="1"/>
        <v>11658641.280000001</v>
      </c>
    </row>
    <row r="52" spans="1:53" x14ac:dyDescent="0.3">
      <c r="A52" s="62" t="s">
        <v>309</v>
      </c>
      <c r="B52" s="838"/>
      <c r="C52" s="838"/>
      <c r="D52" s="304"/>
      <c r="E52" s="289"/>
      <c r="F52" s="293"/>
      <c r="G52" s="289"/>
      <c r="H52" s="291"/>
      <c r="I52" s="289"/>
      <c r="J52" s="291"/>
      <c r="K52" s="289"/>
      <c r="L52" s="292"/>
      <c r="M52" s="289"/>
      <c r="N52" s="287"/>
      <c r="O52" s="289"/>
      <c r="P52" s="287"/>
      <c r="Q52" s="289"/>
      <c r="R52" s="287"/>
      <c r="S52" s="289"/>
      <c r="T52" s="287"/>
      <c r="U52" s="289"/>
      <c r="V52" s="287"/>
      <c r="W52" s="289"/>
      <c r="X52" s="291"/>
      <c r="Y52" s="289"/>
      <c r="Z52" s="291"/>
      <c r="AA52" s="289"/>
      <c r="AB52" s="287"/>
      <c r="AC52" s="289"/>
      <c r="AD52" s="291"/>
      <c r="AE52" s="289"/>
      <c r="AF52" s="291"/>
      <c r="AG52" s="289"/>
      <c r="AH52" s="287"/>
      <c r="AI52" s="289"/>
      <c r="AJ52" s="291"/>
      <c r="AK52" s="289"/>
      <c r="AL52" s="293"/>
      <c r="AM52" s="289"/>
      <c r="AN52" s="291"/>
      <c r="AO52" s="289"/>
      <c r="AP52" s="291"/>
      <c r="AQ52" s="289"/>
      <c r="AR52" s="291"/>
      <c r="AS52" s="289"/>
      <c r="AT52" s="291"/>
      <c r="AU52" s="289"/>
      <c r="AV52" s="837">
        <f t="shared" si="0"/>
        <v>0</v>
      </c>
      <c r="AW52" s="289">
        <f t="shared" si="0"/>
        <v>0</v>
      </c>
      <c r="AX52" s="837"/>
      <c r="AY52" s="289"/>
      <c r="AZ52" s="837">
        <f t="shared" si="1"/>
        <v>0</v>
      </c>
      <c r="BA52" s="289">
        <f t="shared" si="1"/>
        <v>0</v>
      </c>
    </row>
    <row r="53" spans="1:53" x14ac:dyDescent="0.3">
      <c r="A53" s="62" t="s">
        <v>310</v>
      </c>
      <c r="B53" s="838"/>
      <c r="C53" s="838"/>
      <c r="D53" s="304"/>
      <c r="E53" s="289"/>
      <c r="F53" s="293"/>
      <c r="G53" s="289"/>
      <c r="H53" s="291"/>
      <c r="I53" s="289"/>
      <c r="J53" s="291"/>
      <c r="K53" s="289"/>
      <c r="L53" s="292"/>
      <c r="M53" s="289"/>
      <c r="N53" s="287"/>
      <c r="O53" s="289"/>
      <c r="P53" s="287"/>
      <c r="Q53" s="289"/>
      <c r="R53" s="287"/>
      <c r="S53" s="289"/>
      <c r="T53" s="287"/>
      <c r="U53" s="289"/>
      <c r="V53" s="287"/>
      <c r="W53" s="289"/>
      <c r="X53" s="291"/>
      <c r="Y53" s="289"/>
      <c r="Z53" s="291"/>
      <c r="AA53" s="289"/>
      <c r="AB53" s="287"/>
      <c r="AC53" s="289"/>
      <c r="AD53" s="291"/>
      <c r="AE53" s="289"/>
      <c r="AF53" s="291"/>
      <c r="AG53" s="289"/>
      <c r="AH53" s="287"/>
      <c r="AI53" s="289"/>
      <c r="AJ53" s="291"/>
      <c r="AK53" s="289"/>
      <c r="AL53" s="293"/>
      <c r="AM53" s="289"/>
      <c r="AN53" s="291"/>
      <c r="AO53" s="289"/>
      <c r="AP53" s="291"/>
      <c r="AQ53" s="289"/>
      <c r="AR53" s="291"/>
      <c r="AS53" s="289"/>
      <c r="AT53" s="291"/>
      <c r="AU53" s="289"/>
      <c r="AV53" s="837">
        <f t="shared" si="0"/>
        <v>0</v>
      </c>
      <c r="AW53" s="289">
        <f t="shared" si="0"/>
        <v>0</v>
      </c>
      <c r="AX53" s="837"/>
      <c r="AY53" s="289"/>
      <c r="AZ53" s="837">
        <f t="shared" si="1"/>
        <v>0</v>
      </c>
      <c r="BA53" s="289">
        <f t="shared" si="1"/>
        <v>0</v>
      </c>
    </row>
    <row r="54" spans="1:53" x14ac:dyDescent="0.3">
      <c r="A54" s="62" t="s">
        <v>311</v>
      </c>
      <c r="B54" s="838"/>
      <c r="C54" s="838"/>
      <c r="D54" s="304">
        <v>84503</v>
      </c>
      <c r="E54" s="289">
        <v>75640</v>
      </c>
      <c r="F54" s="293">
        <v>148929</v>
      </c>
      <c r="G54" s="289">
        <v>139161</v>
      </c>
      <c r="H54" s="291"/>
      <c r="I54" s="289"/>
      <c r="J54" s="291">
        <v>335083</v>
      </c>
      <c r="K54" s="289">
        <v>303883</v>
      </c>
      <c r="L54" s="292"/>
      <c r="M54" s="289"/>
      <c r="N54" s="287">
        <v>15840</v>
      </c>
      <c r="O54" s="289">
        <v>24274</v>
      </c>
      <c r="P54" s="287">
        <v>196542</v>
      </c>
      <c r="Q54" s="289">
        <v>173033</v>
      </c>
      <c r="R54" s="287"/>
      <c r="S54" s="289">
        <v>75686</v>
      </c>
      <c r="T54" s="287">
        <v>226212</v>
      </c>
      <c r="U54" s="289">
        <v>205790</v>
      </c>
      <c r="V54" s="287"/>
      <c r="W54" s="289"/>
      <c r="X54" s="291"/>
      <c r="Y54" s="289"/>
      <c r="Z54" s="291"/>
      <c r="AA54" s="289"/>
      <c r="AB54" s="287">
        <v>54824</v>
      </c>
      <c r="AC54" s="289">
        <v>40900</v>
      </c>
      <c r="AD54" s="291"/>
      <c r="AE54" s="289"/>
      <c r="AF54" s="291"/>
      <c r="AG54" s="289"/>
      <c r="AH54" s="287">
        <v>63139</v>
      </c>
      <c r="AI54" s="289">
        <v>70130</v>
      </c>
      <c r="AJ54" s="291">
        <v>5449</v>
      </c>
      <c r="AK54" s="289">
        <v>19180</v>
      </c>
      <c r="AL54" s="293"/>
      <c r="AM54" s="289"/>
      <c r="AN54" s="291"/>
      <c r="AO54" s="289"/>
      <c r="AP54" s="291"/>
      <c r="AQ54" s="289"/>
      <c r="AR54" s="291"/>
      <c r="AS54" s="289"/>
      <c r="AT54" s="291"/>
      <c r="AU54" s="289"/>
      <c r="AV54" s="837">
        <f t="shared" si="0"/>
        <v>1130521</v>
      </c>
      <c r="AW54" s="289">
        <f t="shared" si="0"/>
        <v>1127677</v>
      </c>
      <c r="AX54" s="837"/>
      <c r="AY54" s="289"/>
      <c r="AZ54" s="837">
        <f t="shared" si="1"/>
        <v>1130521</v>
      </c>
      <c r="BA54" s="289">
        <f t="shared" si="1"/>
        <v>1127677</v>
      </c>
    </row>
    <row r="55" spans="1:53" x14ac:dyDescent="0.3">
      <c r="A55" s="62" t="s">
        <v>312</v>
      </c>
      <c r="B55" s="838"/>
      <c r="C55" s="838"/>
      <c r="D55" s="304">
        <v>171765</v>
      </c>
      <c r="E55" s="289">
        <v>151427</v>
      </c>
      <c r="F55" s="293"/>
      <c r="G55" s="289"/>
      <c r="H55" s="291"/>
      <c r="I55" s="289"/>
      <c r="J55" s="291"/>
      <c r="K55" s="289"/>
      <c r="L55" s="292"/>
      <c r="M55" s="289"/>
      <c r="N55" s="287"/>
      <c r="O55" s="289"/>
      <c r="P55" s="287"/>
      <c r="Q55" s="289"/>
      <c r="R55" s="287"/>
      <c r="S55" s="289"/>
      <c r="T55" s="287"/>
      <c r="U55" s="289"/>
      <c r="V55" s="287"/>
      <c r="W55" s="289"/>
      <c r="X55" s="291"/>
      <c r="Y55" s="289"/>
      <c r="Z55" s="291">
        <v>668</v>
      </c>
      <c r="AA55" s="289">
        <v>3756</v>
      </c>
      <c r="AB55" s="287">
        <v>1440</v>
      </c>
      <c r="AC55" s="289">
        <v>181.87</v>
      </c>
      <c r="AD55" s="291"/>
      <c r="AE55" s="289"/>
      <c r="AF55" s="291"/>
      <c r="AG55" s="289"/>
      <c r="AH55" s="287"/>
      <c r="AI55" s="289"/>
      <c r="AJ55" s="291"/>
      <c r="AK55" s="289"/>
      <c r="AL55" s="293"/>
      <c r="AM55" s="289"/>
      <c r="AN55" s="291"/>
      <c r="AO55" s="289"/>
      <c r="AP55" s="291"/>
      <c r="AQ55" s="289"/>
      <c r="AR55" s="291"/>
      <c r="AS55" s="289"/>
      <c r="AT55" s="291"/>
      <c r="AU55" s="289"/>
      <c r="AV55" s="837">
        <f t="shared" si="0"/>
        <v>173873</v>
      </c>
      <c r="AW55" s="289">
        <f t="shared" si="0"/>
        <v>155364.87</v>
      </c>
      <c r="AX55" s="837"/>
      <c r="AY55" s="289"/>
      <c r="AZ55" s="837">
        <f t="shared" si="1"/>
        <v>173873</v>
      </c>
      <c r="BA55" s="289">
        <f t="shared" si="1"/>
        <v>155364.87</v>
      </c>
    </row>
    <row r="56" spans="1:53" s="843" customFormat="1" ht="18" x14ac:dyDescent="0.35">
      <c r="A56" s="839" t="s">
        <v>292</v>
      </c>
      <c r="B56" s="840">
        <v>6543282</v>
      </c>
      <c r="C56" s="840">
        <v>5810578</v>
      </c>
      <c r="D56" s="930">
        <v>649947</v>
      </c>
      <c r="E56" s="842">
        <v>584489</v>
      </c>
      <c r="F56" s="1007">
        <v>1335208</v>
      </c>
      <c r="G56" s="842">
        <v>128064</v>
      </c>
      <c r="H56" s="1011">
        <v>8741141</v>
      </c>
      <c r="I56" s="842">
        <v>8234117</v>
      </c>
      <c r="J56" s="1011">
        <v>1554615</v>
      </c>
      <c r="K56" s="842">
        <v>1350115</v>
      </c>
      <c r="L56" s="983">
        <v>2730473</v>
      </c>
      <c r="M56" s="842">
        <v>2478286</v>
      </c>
      <c r="N56" s="978">
        <v>703318</v>
      </c>
      <c r="O56" s="842">
        <v>633448</v>
      </c>
      <c r="P56" s="978">
        <v>831162</v>
      </c>
      <c r="Q56" s="842">
        <v>685353</v>
      </c>
      <c r="R56" s="978"/>
      <c r="S56" s="842">
        <v>2038021</v>
      </c>
      <c r="T56" s="978">
        <v>891811</v>
      </c>
      <c r="U56" s="842">
        <v>763193</v>
      </c>
      <c r="V56" s="978">
        <v>21115487</v>
      </c>
      <c r="W56" s="842">
        <v>19134601</v>
      </c>
      <c r="X56" s="1011">
        <v>24363727</v>
      </c>
      <c r="Y56" s="842">
        <v>23657969</v>
      </c>
      <c r="Z56" s="1011">
        <v>1463783</v>
      </c>
      <c r="AA56" s="842">
        <v>1334489</v>
      </c>
      <c r="AB56" s="978">
        <v>2049371</v>
      </c>
      <c r="AC56" s="842">
        <v>1793419.6</v>
      </c>
      <c r="AD56" s="1011">
        <v>5777291</v>
      </c>
      <c r="AE56" s="842">
        <v>5055210</v>
      </c>
      <c r="AF56" s="1011">
        <v>11445435</v>
      </c>
      <c r="AG56" s="842">
        <v>10051160</v>
      </c>
      <c r="AH56" s="978">
        <v>3735814</v>
      </c>
      <c r="AI56" s="842">
        <v>3214889</v>
      </c>
      <c r="AJ56" s="1011">
        <v>2927845</v>
      </c>
      <c r="AK56" s="842">
        <v>2671672</v>
      </c>
      <c r="AL56" s="1007"/>
      <c r="AM56" s="842"/>
      <c r="AN56" s="1011">
        <v>28400675</v>
      </c>
      <c r="AO56" s="842">
        <v>24512137</v>
      </c>
      <c r="AP56" s="1011">
        <v>854263.21</v>
      </c>
      <c r="AQ56" s="842">
        <v>706112</v>
      </c>
      <c r="AR56" s="1011">
        <v>1705069</v>
      </c>
      <c r="AS56" s="842">
        <v>1356794</v>
      </c>
      <c r="AT56" s="1011">
        <v>6314188</v>
      </c>
      <c r="AU56" s="842">
        <v>5328663</v>
      </c>
      <c r="AV56" s="841">
        <f t="shared" si="0"/>
        <v>134133905.20999999</v>
      </c>
      <c r="AW56" s="842">
        <f t="shared" si="0"/>
        <v>121522779.59999999</v>
      </c>
      <c r="AX56" s="841">
        <v>433613295.50999999</v>
      </c>
      <c r="AY56" s="842">
        <v>402358989.51999998</v>
      </c>
      <c r="AZ56" s="841">
        <f t="shared" si="1"/>
        <v>567747200.72000003</v>
      </c>
      <c r="BA56" s="842">
        <f t="shared" si="1"/>
        <v>523881769.12</v>
      </c>
    </row>
    <row r="57" spans="1:53" x14ac:dyDescent="0.3">
      <c r="A57" s="839" t="s">
        <v>313</v>
      </c>
      <c r="B57" s="836"/>
      <c r="C57" s="836"/>
      <c r="D57" s="304"/>
      <c r="E57" s="289"/>
      <c r="F57" s="293"/>
      <c r="G57" s="289"/>
      <c r="H57" s="291"/>
      <c r="I57" s="289"/>
      <c r="J57" s="291"/>
      <c r="K57" s="289"/>
      <c r="L57" s="292"/>
      <c r="M57" s="289"/>
      <c r="N57" s="287"/>
      <c r="O57" s="289"/>
      <c r="P57" s="287"/>
      <c r="Q57" s="289"/>
      <c r="R57" s="287"/>
      <c r="S57" s="289"/>
      <c r="T57" s="287"/>
      <c r="U57" s="289"/>
      <c r="V57" s="287"/>
      <c r="W57" s="289"/>
      <c r="X57" s="291"/>
      <c r="Y57" s="289"/>
      <c r="Z57" s="291"/>
      <c r="AA57" s="289"/>
      <c r="AB57" s="287"/>
      <c r="AC57" s="289"/>
      <c r="AD57" s="291"/>
      <c r="AE57" s="289"/>
      <c r="AF57" s="291"/>
      <c r="AG57" s="289"/>
      <c r="AH57" s="287"/>
      <c r="AI57" s="289"/>
      <c r="AJ57" s="291"/>
      <c r="AK57" s="289"/>
      <c r="AL57" s="293"/>
      <c r="AM57" s="289"/>
      <c r="AN57" s="291"/>
      <c r="AO57" s="289"/>
      <c r="AP57" s="291"/>
      <c r="AQ57" s="289"/>
      <c r="AR57" s="291"/>
      <c r="AS57" s="289"/>
      <c r="AT57" s="291"/>
      <c r="AU57" s="289"/>
      <c r="AV57" s="837">
        <f t="shared" si="0"/>
        <v>0</v>
      </c>
      <c r="AW57" s="289">
        <f t="shared" si="0"/>
        <v>0</v>
      </c>
      <c r="AX57" s="837"/>
      <c r="AY57" s="289"/>
      <c r="AZ57" s="837">
        <f t="shared" si="1"/>
        <v>0</v>
      </c>
      <c r="BA57" s="289">
        <f t="shared" si="1"/>
        <v>0</v>
      </c>
    </row>
    <row r="58" spans="1:53" x14ac:dyDescent="0.3">
      <c r="A58" s="839" t="s">
        <v>0</v>
      </c>
      <c r="B58" s="836"/>
      <c r="C58" s="836"/>
      <c r="D58" s="304"/>
      <c r="E58" s="289"/>
      <c r="F58" s="293"/>
      <c r="G58" s="289"/>
      <c r="H58" s="291"/>
      <c r="I58" s="289"/>
      <c r="J58" s="291"/>
      <c r="K58" s="289"/>
      <c r="L58" s="292"/>
      <c r="M58" s="289"/>
      <c r="N58" s="287"/>
      <c r="O58" s="289"/>
      <c r="P58" s="287"/>
      <c r="Q58" s="289"/>
      <c r="R58" s="287"/>
      <c r="S58" s="289"/>
      <c r="T58" s="287"/>
      <c r="U58" s="289"/>
      <c r="V58" s="287"/>
      <c r="W58" s="289"/>
      <c r="X58" s="291"/>
      <c r="Y58" s="289"/>
      <c r="Z58" s="291"/>
      <c r="AA58" s="289"/>
      <c r="AB58" s="287"/>
      <c r="AC58" s="289"/>
      <c r="AD58" s="291"/>
      <c r="AE58" s="289"/>
      <c r="AF58" s="291"/>
      <c r="AG58" s="289"/>
      <c r="AH58" s="287"/>
      <c r="AI58" s="289"/>
      <c r="AJ58" s="291"/>
      <c r="AK58" s="289"/>
      <c r="AL58" s="293"/>
      <c r="AM58" s="289"/>
      <c r="AN58" s="291"/>
      <c r="AO58" s="289"/>
      <c r="AP58" s="291"/>
      <c r="AQ58" s="289"/>
      <c r="AR58" s="291"/>
      <c r="AS58" s="289"/>
      <c r="AT58" s="291"/>
      <c r="AU58" s="289"/>
      <c r="AV58" s="837">
        <f t="shared" si="0"/>
        <v>0</v>
      </c>
      <c r="AW58" s="289">
        <f t="shared" si="0"/>
        <v>0</v>
      </c>
      <c r="AX58" s="837"/>
      <c r="AY58" s="289"/>
      <c r="AZ58" s="837">
        <f t="shared" si="1"/>
        <v>0</v>
      </c>
      <c r="BA58" s="289">
        <f t="shared" si="1"/>
        <v>0</v>
      </c>
    </row>
    <row r="59" spans="1:53" x14ac:dyDescent="0.3">
      <c r="A59" s="62" t="s">
        <v>314</v>
      </c>
      <c r="B59" s="836">
        <v>37426</v>
      </c>
      <c r="C59" s="836">
        <v>33904</v>
      </c>
      <c r="D59" s="304"/>
      <c r="E59" s="289"/>
      <c r="F59" s="293"/>
      <c r="G59" s="289">
        <v>2141</v>
      </c>
      <c r="H59" s="291">
        <v>170996</v>
      </c>
      <c r="I59" s="289">
        <v>222599</v>
      </c>
      <c r="J59" s="291">
        <v>27250</v>
      </c>
      <c r="K59" s="289">
        <v>52601</v>
      </c>
      <c r="L59" s="292"/>
      <c r="M59" s="289"/>
      <c r="N59" s="287">
        <v>31</v>
      </c>
      <c r="O59" s="289">
        <v>157</v>
      </c>
      <c r="P59" s="287"/>
      <c r="Q59" s="289"/>
      <c r="R59" s="287"/>
      <c r="S59" s="289">
        <v>2260</v>
      </c>
      <c r="T59" s="287">
        <v>4998</v>
      </c>
      <c r="U59" s="289">
        <v>8916</v>
      </c>
      <c r="V59" s="287">
        <v>80201</v>
      </c>
      <c r="W59" s="289">
        <v>106951</v>
      </c>
      <c r="X59" s="291">
        <v>63360</v>
      </c>
      <c r="Y59" s="289">
        <v>102747</v>
      </c>
      <c r="Z59" s="291"/>
      <c r="AA59" s="289"/>
      <c r="AB59" s="287">
        <v>630</v>
      </c>
      <c r="AC59" s="289">
        <v>1441.08</v>
      </c>
      <c r="AD59" s="291">
        <v>19257</v>
      </c>
      <c r="AE59" s="289">
        <v>26361</v>
      </c>
      <c r="AF59" s="291">
        <v>37006</v>
      </c>
      <c r="AG59" s="289">
        <v>10000</v>
      </c>
      <c r="AH59" s="287">
        <v>12500</v>
      </c>
      <c r="AI59" s="289">
        <v>25500</v>
      </c>
      <c r="AJ59" s="291">
        <v>4106</v>
      </c>
      <c r="AK59" s="289">
        <v>4952</v>
      </c>
      <c r="AL59" s="293"/>
      <c r="AM59" s="289"/>
      <c r="AN59" s="291">
        <v>87500</v>
      </c>
      <c r="AO59" s="289">
        <v>92000</v>
      </c>
      <c r="AP59" s="291"/>
      <c r="AQ59" s="289"/>
      <c r="AR59" s="291">
        <v>1144</v>
      </c>
      <c r="AS59" s="289"/>
      <c r="AT59" s="291"/>
      <c r="AU59" s="289"/>
      <c r="AV59" s="837">
        <f t="shared" si="0"/>
        <v>546405</v>
      </c>
      <c r="AW59" s="289">
        <f t="shared" si="0"/>
        <v>692530.08</v>
      </c>
      <c r="AX59" s="837"/>
      <c r="AY59" s="289"/>
      <c r="AZ59" s="837">
        <f t="shared" si="1"/>
        <v>546405</v>
      </c>
      <c r="BA59" s="289">
        <f t="shared" si="1"/>
        <v>692530.08</v>
      </c>
    </row>
    <row r="60" spans="1:53" x14ac:dyDescent="0.3">
      <c r="A60" s="62" t="s">
        <v>315</v>
      </c>
      <c r="B60" s="836">
        <v>234</v>
      </c>
      <c r="C60" s="836">
        <v>234</v>
      </c>
      <c r="D60" s="304"/>
      <c r="E60" s="289"/>
      <c r="F60" s="293">
        <v>76</v>
      </c>
      <c r="G60" s="289">
        <v>136</v>
      </c>
      <c r="H60" s="291"/>
      <c r="I60" s="289"/>
      <c r="J60" s="291">
        <v>6</v>
      </c>
      <c r="K60" s="289">
        <v>5.87</v>
      </c>
      <c r="L60" s="292">
        <v>2</v>
      </c>
      <c r="M60" s="289">
        <v>2</v>
      </c>
      <c r="N60" s="287">
        <v>31</v>
      </c>
      <c r="O60" s="289">
        <v>269</v>
      </c>
      <c r="P60" s="287"/>
      <c r="Q60" s="289"/>
      <c r="R60" s="287"/>
      <c r="S60" s="289"/>
      <c r="T60" s="287">
        <v>656</v>
      </c>
      <c r="U60" s="289">
        <v>450</v>
      </c>
      <c r="V60" s="287"/>
      <c r="W60" s="289"/>
      <c r="X60" s="291">
        <f>5+75+89</f>
        <v>169</v>
      </c>
      <c r="Y60" s="289">
        <f>12+414+110</f>
        <v>536</v>
      </c>
      <c r="Z60" s="291"/>
      <c r="AA60" s="289"/>
      <c r="AB60" s="287"/>
      <c r="AC60" s="289"/>
      <c r="AD60" s="291">
        <v>41</v>
      </c>
      <c r="AE60" s="289">
        <v>41</v>
      </c>
      <c r="AF60" s="291">
        <v>2843</v>
      </c>
      <c r="AG60" s="289">
        <v>2756</v>
      </c>
      <c r="AH60" s="287">
        <v>198</v>
      </c>
      <c r="AI60" s="289">
        <v>106</v>
      </c>
      <c r="AJ60" s="291">
        <v>151</v>
      </c>
      <c r="AK60" s="289">
        <v>101</v>
      </c>
      <c r="AL60" s="293"/>
      <c r="AM60" s="289"/>
      <c r="AN60" s="291">
        <v>100</v>
      </c>
      <c r="AO60" s="289">
        <v>100</v>
      </c>
      <c r="AP60" s="291"/>
      <c r="AQ60" s="289"/>
      <c r="AR60" s="291">
        <v>70</v>
      </c>
      <c r="AS60" s="289">
        <v>70</v>
      </c>
      <c r="AT60" s="291">
        <v>996</v>
      </c>
      <c r="AU60" s="289">
        <v>1003</v>
      </c>
      <c r="AV60" s="837">
        <f t="shared" si="0"/>
        <v>5573</v>
      </c>
      <c r="AW60" s="289">
        <f t="shared" si="0"/>
        <v>5809.87</v>
      </c>
      <c r="AX60" s="837"/>
      <c r="AY60" s="289"/>
      <c r="AZ60" s="837">
        <f t="shared" si="1"/>
        <v>5573</v>
      </c>
      <c r="BA60" s="289">
        <f t="shared" si="1"/>
        <v>5809.87</v>
      </c>
    </row>
    <row r="61" spans="1:53" x14ac:dyDescent="0.3">
      <c r="A61" s="62" t="s">
        <v>316</v>
      </c>
      <c r="B61" s="836"/>
      <c r="C61" s="836"/>
      <c r="D61" s="304"/>
      <c r="E61" s="289"/>
      <c r="F61" s="293"/>
      <c r="G61" s="289"/>
      <c r="H61" s="291"/>
      <c r="I61" s="289"/>
      <c r="J61" s="291"/>
      <c r="K61" s="289"/>
      <c r="L61" s="292"/>
      <c r="M61" s="289"/>
      <c r="N61" s="287"/>
      <c r="O61" s="289"/>
      <c r="P61" s="287"/>
      <c r="Q61" s="289"/>
      <c r="R61" s="287"/>
      <c r="S61" s="289"/>
      <c r="T61" s="287"/>
      <c r="U61" s="289"/>
      <c r="V61" s="287">
        <v>1</v>
      </c>
      <c r="W61" s="289">
        <v>1</v>
      </c>
      <c r="X61" s="291"/>
      <c r="Y61" s="289"/>
      <c r="Z61" s="291"/>
      <c r="AA61" s="289"/>
      <c r="AB61" s="287"/>
      <c r="AC61" s="289"/>
      <c r="AD61" s="291"/>
      <c r="AE61" s="289"/>
      <c r="AF61" s="291"/>
      <c r="AG61" s="289"/>
      <c r="AH61" s="287"/>
      <c r="AI61" s="289"/>
      <c r="AJ61" s="291"/>
      <c r="AK61" s="289"/>
      <c r="AL61" s="293"/>
      <c r="AM61" s="289"/>
      <c r="AN61" s="291"/>
      <c r="AO61" s="289"/>
      <c r="AP61" s="291"/>
      <c r="AQ61" s="289"/>
      <c r="AR61" s="291"/>
      <c r="AS61" s="289"/>
      <c r="AT61" s="291"/>
      <c r="AU61" s="289"/>
      <c r="AV61" s="837">
        <f t="shared" si="0"/>
        <v>1</v>
      </c>
      <c r="AW61" s="289">
        <f t="shared" si="0"/>
        <v>1</v>
      </c>
      <c r="AX61" s="837"/>
      <c r="AY61" s="289"/>
      <c r="AZ61" s="837">
        <f t="shared" si="1"/>
        <v>1</v>
      </c>
      <c r="BA61" s="289">
        <f t="shared" si="1"/>
        <v>1</v>
      </c>
    </row>
    <row r="62" spans="1:53" x14ac:dyDescent="0.3">
      <c r="A62" s="62" t="s">
        <v>317</v>
      </c>
      <c r="B62" s="836">
        <v>25</v>
      </c>
      <c r="C62" s="836">
        <v>25</v>
      </c>
      <c r="D62" s="304">
        <v>25</v>
      </c>
      <c r="E62" s="289">
        <v>25</v>
      </c>
      <c r="F62" s="293"/>
      <c r="G62" s="289"/>
      <c r="H62" s="291">
        <v>41</v>
      </c>
      <c r="I62" s="289">
        <v>41</v>
      </c>
      <c r="J62" s="291">
        <v>25</v>
      </c>
      <c r="K62" s="289">
        <v>25</v>
      </c>
      <c r="L62" s="292">
        <v>50</v>
      </c>
      <c r="M62" s="289">
        <v>51</v>
      </c>
      <c r="N62" s="287"/>
      <c r="O62" s="289"/>
      <c r="P62" s="287"/>
      <c r="Q62" s="289"/>
      <c r="R62" s="287"/>
      <c r="S62" s="289"/>
      <c r="T62" s="287"/>
      <c r="U62" s="289"/>
      <c r="V62" s="287">
        <v>36</v>
      </c>
      <c r="W62" s="289">
        <v>35</v>
      </c>
      <c r="X62" s="291"/>
      <c r="Y62" s="289"/>
      <c r="Z62" s="291">
        <v>25</v>
      </c>
      <c r="AA62" s="289">
        <v>25</v>
      </c>
      <c r="AB62" s="287"/>
      <c r="AC62" s="289"/>
      <c r="AD62" s="291">
        <v>45</v>
      </c>
      <c r="AE62" s="289">
        <v>45</v>
      </c>
      <c r="AF62" s="291">
        <v>25</v>
      </c>
      <c r="AG62" s="289">
        <v>25</v>
      </c>
      <c r="AH62" s="287">
        <v>44</v>
      </c>
      <c r="AI62" s="289">
        <v>40</v>
      </c>
      <c r="AJ62" s="291">
        <v>12</v>
      </c>
      <c r="AK62" s="289">
        <v>11</v>
      </c>
      <c r="AL62" s="293"/>
      <c r="AM62" s="289"/>
      <c r="AN62" s="291"/>
      <c r="AO62" s="289"/>
      <c r="AP62" s="291">
        <v>25</v>
      </c>
      <c r="AQ62" s="289"/>
      <c r="AR62" s="291">
        <v>25</v>
      </c>
      <c r="AS62" s="289">
        <v>25</v>
      </c>
      <c r="AT62" s="291">
        <v>191</v>
      </c>
      <c r="AU62" s="289">
        <v>86</v>
      </c>
      <c r="AV62" s="837">
        <f t="shared" si="0"/>
        <v>594</v>
      </c>
      <c r="AW62" s="289">
        <f t="shared" si="0"/>
        <v>459</v>
      </c>
      <c r="AX62" s="837"/>
      <c r="AY62" s="289"/>
      <c r="AZ62" s="837">
        <f t="shared" si="1"/>
        <v>594</v>
      </c>
      <c r="BA62" s="289">
        <f t="shared" si="1"/>
        <v>459</v>
      </c>
    </row>
    <row r="63" spans="1:53" x14ac:dyDescent="0.3">
      <c r="A63" s="62" t="s">
        <v>318</v>
      </c>
      <c r="B63" s="836"/>
      <c r="C63" s="836"/>
      <c r="D63" s="304">
        <v>821</v>
      </c>
      <c r="E63" s="289">
        <v>821</v>
      </c>
      <c r="F63" s="293">
        <f>6649+6647</f>
        <v>13296</v>
      </c>
      <c r="G63" s="289">
        <f>6649+6514</f>
        <v>13163</v>
      </c>
      <c r="H63" s="291"/>
      <c r="I63" s="289"/>
      <c r="J63" s="291">
        <v>1923</v>
      </c>
      <c r="K63" s="289">
        <v>1929</v>
      </c>
      <c r="L63" s="292">
        <v>16289</v>
      </c>
      <c r="M63" s="289">
        <v>15523</v>
      </c>
      <c r="N63" s="287">
        <v>1346</v>
      </c>
      <c r="O63" s="289">
        <v>2314</v>
      </c>
      <c r="P63" s="287"/>
      <c r="Q63" s="289"/>
      <c r="R63" s="287"/>
      <c r="S63" s="289">
        <v>25356</v>
      </c>
      <c r="T63" s="287">
        <v>519</v>
      </c>
      <c r="U63" s="289">
        <v>515</v>
      </c>
      <c r="V63" s="287">
        <v>5387</v>
      </c>
      <c r="W63" s="289">
        <v>14297</v>
      </c>
      <c r="X63" s="291"/>
      <c r="Y63" s="289">
        <v>15370</v>
      </c>
      <c r="Z63" s="291">
        <v>6564</v>
      </c>
      <c r="AA63" s="289">
        <v>7924</v>
      </c>
      <c r="AB63" s="287">
        <v>7978</v>
      </c>
      <c r="AC63" s="289">
        <v>6431</v>
      </c>
      <c r="AD63" s="291">
        <v>23871</v>
      </c>
      <c r="AE63" s="289">
        <v>22809</v>
      </c>
      <c r="AF63" s="291"/>
      <c r="AG63" s="289">
        <v>598</v>
      </c>
      <c r="AH63" s="287">
        <v>1506</v>
      </c>
      <c r="AI63" s="289">
        <v>1506</v>
      </c>
      <c r="AJ63" s="291">
        <v>16062</v>
      </c>
      <c r="AK63" s="289">
        <v>16113</v>
      </c>
      <c r="AL63" s="293"/>
      <c r="AM63" s="289"/>
      <c r="AN63" s="291"/>
      <c r="AO63" s="289"/>
      <c r="AP63" s="291"/>
      <c r="AQ63" s="289"/>
      <c r="AR63" s="293">
        <v>8948</v>
      </c>
      <c r="AS63" s="292">
        <v>8554</v>
      </c>
      <c r="AT63" s="291"/>
      <c r="AU63" s="289"/>
      <c r="AV63" s="837">
        <f t="shared" si="0"/>
        <v>104510</v>
      </c>
      <c r="AW63" s="289">
        <f t="shared" si="0"/>
        <v>153223</v>
      </c>
      <c r="AX63" s="837"/>
      <c r="AY63" s="289"/>
      <c r="AZ63" s="837">
        <f t="shared" si="1"/>
        <v>104510</v>
      </c>
      <c r="BA63" s="289">
        <f t="shared" si="1"/>
        <v>153223</v>
      </c>
    </row>
    <row r="64" spans="1:53" x14ac:dyDescent="0.3">
      <c r="A64" s="62" t="s">
        <v>319</v>
      </c>
      <c r="B64" s="836"/>
      <c r="C64" s="836"/>
      <c r="D64" s="304"/>
      <c r="E64" s="289"/>
      <c r="F64" s="293"/>
      <c r="G64" s="289"/>
      <c r="H64" s="291"/>
      <c r="I64" s="289"/>
      <c r="J64" s="291"/>
      <c r="K64" s="289"/>
      <c r="L64" s="292"/>
      <c r="M64" s="289"/>
      <c r="N64" s="287"/>
      <c r="O64" s="289"/>
      <c r="P64" s="287">
        <v>133</v>
      </c>
      <c r="Q64" s="289">
        <v>84</v>
      </c>
      <c r="R64" s="287"/>
      <c r="S64" s="289"/>
      <c r="T64" s="287"/>
      <c r="U64" s="289"/>
      <c r="V64" s="287"/>
      <c r="W64" s="289"/>
      <c r="X64" s="291"/>
      <c r="Y64" s="289"/>
      <c r="Z64" s="291"/>
      <c r="AA64" s="289"/>
      <c r="AB64" s="287"/>
      <c r="AC64" s="289"/>
      <c r="AD64" s="291"/>
      <c r="AE64" s="289"/>
      <c r="AF64" s="291"/>
      <c r="AG64" s="289"/>
      <c r="AH64" s="287"/>
      <c r="AI64" s="289"/>
      <c r="AJ64" s="291"/>
      <c r="AK64" s="289"/>
      <c r="AL64" s="293"/>
      <c r="AM64" s="289"/>
      <c r="AN64" s="291"/>
      <c r="AO64" s="289"/>
      <c r="AP64" s="291"/>
      <c r="AQ64" s="289"/>
      <c r="AR64" s="291"/>
      <c r="AS64" s="289"/>
      <c r="AT64" s="291"/>
      <c r="AU64" s="289"/>
      <c r="AV64" s="837">
        <f t="shared" si="0"/>
        <v>133</v>
      </c>
      <c r="AW64" s="289">
        <f t="shared" si="0"/>
        <v>84</v>
      </c>
      <c r="AX64" s="837"/>
      <c r="AY64" s="289"/>
      <c r="AZ64" s="837">
        <f t="shared" si="1"/>
        <v>133</v>
      </c>
      <c r="BA64" s="289">
        <f t="shared" si="1"/>
        <v>84</v>
      </c>
    </row>
    <row r="65" spans="1:53" x14ac:dyDescent="0.3">
      <c r="A65" s="62" t="s">
        <v>320</v>
      </c>
      <c r="B65" s="836"/>
      <c r="C65" s="836"/>
      <c r="D65" s="304">
        <v>803</v>
      </c>
      <c r="E65" s="289">
        <v>691</v>
      </c>
      <c r="F65" s="293">
        <v>2070</v>
      </c>
      <c r="G65" s="289">
        <v>2100</v>
      </c>
      <c r="H65" s="291">
        <v>7729</v>
      </c>
      <c r="I65" s="289">
        <v>6407</v>
      </c>
      <c r="J65" s="291"/>
      <c r="K65" s="289"/>
      <c r="L65" s="292"/>
      <c r="M65" s="289"/>
      <c r="N65" s="287"/>
      <c r="O65" s="289"/>
      <c r="P65" s="287"/>
      <c r="Q65" s="289"/>
      <c r="R65" s="287"/>
      <c r="S65" s="289"/>
      <c r="T65" s="287">
        <v>2459</v>
      </c>
      <c r="U65" s="289">
        <v>1368</v>
      </c>
      <c r="V65" s="287"/>
      <c r="W65" s="289"/>
      <c r="X65" s="291">
        <v>904</v>
      </c>
      <c r="Y65" s="289">
        <v>794</v>
      </c>
      <c r="Z65" s="291"/>
      <c r="AA65" s="289"/>
      <c r="AB65" s="287">
        <v>6895</v>
      </c>
      <c r="AC65" s="289">
        <v>4577.55</v>
      </c>
      <c r="AD65" s="291"/>
      <c r="AE65" s="289"/>
      <c r="AF65" s="291"/>
      <c r="AG65" s="289"/>
      <c r="AH65" s="287"/>
      <c r="AI65" s="289"/>
      <c r="AJ65" s="291"/>
      <c r="AK65" s="289"/>
      <c r="AL65" s="293"/>
      <c r="AM65" s="289"/>
      <c r="AN65" s="291"/>
      <c r="AO65" s="289"/>
      <c r="AP65" s="291"/>
      <c r="AQ65" s="289"/>
      <c r="AR65" s="291"/>
      <c r="AS65" s="289"/>
      <c r="AT65" s="291">
        <v>123</v>
      </c>
      <c r="AU65" s="289">
        <v>76</v>
      </c>
      <c r="AV65" s="837">
        <f t="shared" si="0"/>
        <v>20983</v>
      </c>
      <c r="AW65" s="289">
        <f t="shared" si="0"/>
        <v>16013.55</v>
      </c>
      <c r="AX65" s="837"/>
      <c r="AY65" s="289"/>
      <c r="AZ65" s="837">
        <f t="shared" si="1"/>
        <v>20983</v>
      </c>
      <c r="BA65" s="289">
        <f t="shared" si="1"/>
        <v>16013.55</v>
      </c>
    </row>
    <row r="66" spans="1:53" x14ac:dyDescent="0.3">
      <c r="A66" s="62" t="s">
        <v>74</v>
      </c>
      <c r="B66" s="836">
        <v>5015</v>
      </c>
      <c r="C66" s="836">
        <v>4591</v>
      </c>
      <c r="D66" s="304"/>
      <c r="E66" s="289">
        <v>19</v>
      </c>
      <c r="F66" s="293"/>
      <c r="G66" s="289"/>
      <c r="H66" s="291">
        <v>785</v>
      </c>
      <c r="I66" s="289">
        <v>694</v>
      </c>
      <c r="J66" s="291">
        <v>4606</v>
      </c>
      <c r="K66" s="289">
        <v>3567</v>
      </c>
      <c r="L66" s="292">
        <v>4634</v>
      </c>
      <c r="M66" s="289">
        <v>3743</v>
      </c>
      <c r="N66" s="287">
        <f>81+3168</f>
        <v>3249</v>
      </c>
      <c r="O66" s="289">
        <f>81+2332</f>
        <v>2413</v>
      </c>
      <c r="P66" s="287"/>
      <c r="Q66" s="289"/>
      <c r="R66" s="287"/>
      <c r="S66" s="289">
        <f>4734+7716</f>
        <v>12450</v>
      </c>
      <c r="T66" s="287">
        <v>9111</v>
      </c>
      <c r="U66" s="289">
        <v>9111</v>
      </c>
      <c r="V66" s="287">
        <f>4359+117</f>
        <v>4476</v>
      </c>
      <c r="W66" s="289">
        <v>4246</v>
      </c>
      <c r="X66" s="291">
        <v>18465</v>
      </c>
      <c r="Y66" s="289">
        <v>9813</v>
      </c>
      <c r="Z66" s="291">
        <v>2195</v>
      </c>
      <c r="AA66" s="289">
        <v>1577</v>
      </c>
      <c r="AB66" s="287"/>
      <c r="AC66" s="289"/>
      <c r="AD66" s="291">
        <v>2166</v>
      </c>
      <c r="AE66" s="289">
        <v>1739</v>
      </c>
      <c r="AF66" s="291">
        <v>10697</v>
      </c>
      <c r="AG66" s="289">
        <v>6921</v>
      </c>
      <c r="AH66" s="287">
        <v>7043</v>
      </c>
      <c r="AI66" s="289">
        <v>5910</v>
      </c>
      <c r="AJ66" s="291">
        <v>3785</v>
      </c>
      <c r="AK66" s="289">
        <v>3557</v>
      </c>
      <c r="AL66" s="293"/>
      <c r="AM66" s="289"/>
      <c r="AN66" s="291">
        <f>25392+27529</f>
        <v>52921</v>
      </c>
      <c r="AO66" s="289">
        <f>19126+27529</f>
        <v>46655</v>
      </c>
      <c r="AP66" s="291">
        <v>681.69</v>
      </c>
      <c r="AQ66" s="289">
        <v>580.96</v>
      </c>
      <c r="AR66" s="293">
        <f>1302+309</f>
        <v>1611</v>
      </c>
      <c r="AS66" s="292">
        <f>871+280</f>
        <v>1151</v>
      </c>
      <c r="AT66" s="291">
        <f>386+8309</f>
        <v>8695</v>
      </c>
      <c r="AU66" s="289">
        <f>351+2682+50</f>
        <v>3083</v>
      </c>
      <c r="AV66" s="837">
        <f t="shared" si="0"/>
        <v>140135.69</v>
      </c>
      <c r="AW66" s="289">
        <f t="shared" si="0"/>
        <v>121820.96</v>
      </c>
      <c r="AX66" s="837"/>
      <c r="AY66" s="289"/>
      <c r="AZ66" s="837">
        <f t="shared" si="1"/>
        <v>140135.69</v>
      </c>
      <c r="BA66" s="289">
        <f t="shared" si="1"/>
        <v>121820.96</v>
      </c>
    </row>
    <row r="67" spans="1:53" s="843" customFormat="1" ht="18.75" thickBot="1" x14ac:dyDescent="0.4">
      <c r="A67" s="844" t="s">
        <v>54</v>
      </c>
      <c r="B67" s="845"/>
      <c r="C67" s="845"/>
      <c r="D67" s="1010">
        <v>1649</v>
      </c>
      <c r="E67" s="847">
        <v>1556</v>
      </c>
      <c r="F67" s="1009"/>
      <c r="G67" s="847"/>
      <c r="H67" s="1013">
        <v>179550</v>
      </c>
      <c r="I67" s="847">
        <v>229741</v>
      </c>
      <c r="J67" s="1013">
        <v>33810</v>
      </c>
      <c r="K67" s="847">
        <v>58128</v>
      </c>
      <c r="L67" s="986">
        <v>20975</v>
      </c>
      <c r="M67" s="847">
        <v>19319</v>
      </c>
      <c r="N67" s="981">
        <v>4657</v>
      </c>
      <c r="O67" s="847">
        <v>5153</v>
      </c>
      <c r="P67" s="981"/>
      <c r="Q67" s="847"/>
      <c r="R67" s="981"/>
      <c r="S67" s="847">
        <v>40067</v>
      </c>
      <c r="T67" s="981">
        <v>17744</v>
      </c>
      <c r="U67" s="847">
        <v>20359</v>
      </c>
      <c r="V67" s="981">
        <v>90101</v>
      </c>
      <c r="W67" s="847">
        <v>125530</v>
      </c>
      <c r="X67" s="1013">
        <v>82898</v>
      </c>
      <c r="Y67" s="847">
        <v>129260</v>
      </c>
      <c r="Z67" s="1013">
        <v>8784</v>
      </c>
      <c r="AA67" s="847">
        <v>9526</v>
      </c>
      <c r="AB67" s="981">
        <v>15504</v>
      </c>
      <c r="AC67" s="847">
        <v>12449.67</v>
      </c>
      <c r="AD67" s="1013">
        <v>45380</v>
      </c>
      <c r="AE67" s="847">
        <v>50995</v>
      </c>
      <c r="AF67" s="1013">
        <v>50571</v>
      </c>
      <c r="AG67" s="847">
        <v>20299</v>
      </c>
      <c r="AH67" s="981">
        <v>21291</v>
      </c>
      <c r="AI67" s="847">
        <v>33062</v>
      </c>
      <c r="AJ67" s="1013">
        <v>24117</v>
      </c>
      <c r="AK67" s="847">
        <v>24734</v>
      </c>
      <c r="AL67" s="1009"/>
      <c r="AM67" s="847"/>
      <c r="AN67" s="1013">
        <v>140521</v>
      </c>
      <c r="AO67" s="847">
        <v>138755</v>
      </c>
      <c r="AP67" s="1013">
        <v>706.69</v>
      </c>
      <c r="AQ67" s="847">
        <v>580.96</v>
      </c>
      <c r="AR67" s="1013">
        <v>11799</v>
      </c>
      <c r="AS67" s="847">
        <v>9775</v>
      </c>
      <c r="AT67" s="1013">
        <v>10006</v>
      </c>
      <c r="AU67" s="847">
        <v>4197</v>
      </c>
      <c r="AV67" s="846">
        <f t="shared" si="0"/>
        <v>760063.69</v>
      </c>
      <c r="AW67" s="847">
        <f t="shared" si="0"/>
        <v>933486.63</v>
      </c>
      <c r="AX67" s="846"/>
      <c r="AY67" s="847"/>
      <c r="AZ67" s="846">
        <f t="shared" si="1"/>
        <v>760063.69</v>
      </c>
      <c r="BA67" s="847">
        <f t="shared" si="1"/>
        <v>933486.63</v>
      </c>
    </row>
    <row r="68" spans="1:53" x14ac:dyDescent="0.3">
      <c r="AQ68" s="61">
        <v>580</v>
      </c>
    </row>
  </sheetData>
  <mergeCells count="26"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X1:AY1"/>
    <mergeCell ref="AZ1:BA1"/>
    <mergeCell ref="AL1:AM1"/>
    <mergeCell ref="AN1:AO1"/>
    <mergeCell ref="AP1:AQ1"/>
    <mergeCell ref="AR1:AS1"/>
    <mergeCell ref="AT1:AU1"/>
    <mergeCell ref="AV1:AW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BA14"/>
  <sheetViews>
    <sheetView workbookViewId="0">
      <pane xSplit="1" topLeftCell="B1" activePane="topRight" state="frozen"/>
      <selection pane="topRight" activeCell="AN10" sqref="AN10"/>
    </sheetView>
  </sheetViews>
  <sheetFormatPr defaultRowHeight="15" x14ac:dyDescent="0.25"/>
  <cols>
    <col min="1" max="1" width="24" customWidth="1"/>
    <col min="2" max="53" width="12.85546875" bestFit="1" customWidth="1"/>
    <col min="54" max="54" width="10.7109375" customWidth="1"/>
    <col min="55" max="55" width="12" customWidth="1"/>
  </cols>
  <sheetData>
    <row r="1" spans="1:53" s="61" customFormat="1" ht="18" x14ac:dyDescent="0.35">
      <c r="A1" s="1023" t="s">
        <v>58</v>
      </c>
      <c r="B1" s="1023"/>
      <c r="C1" s="1023"/>
      <c r="D1" s="1023"/>
      <c r="E1" s="1023"/>
      <c r="F1" s="1023"/>
      <c r="G1" s="1023"/>
      <c r="H1" s="1023"/>
      <c r="I1" s="1023"/>
      <c r="J1" s="1023"/>
      <c r="K1" s="1023"/>
      <c r="L1" s="1023"/>
      <c r="M1" s="1023"/>
      <c r="N1" s="1023"/>
      <c r="O1" s="1023"/>
      <c r="P1" s="1023"/>
      <c r="Q1" s="1023"/>
      <c r="R1" s="1023"/>
      <c r="S1" s="1023"/>
      <c r="T1" s="1023"/>
      <c r="U1" s="1023"/>
      <c r="V1" s="1023"/>
      <c r="W1" s="1023"/>
      <c r="X1" s="1023"/>
      <c r="Y1" s="1023"/>
      <c r="Z1" s="1023"/>
      <c r="AA1" s="1023"/>
      <c r="AB1" s="1023"/>
      <c r="AC1" s="1023"/>
      <c r="AD1" s="1023"/>
      <c r="AE1" s="1023"/>
      <c r="AF1" s="1023"/>
      <c r="AG1" s="1023"/>
      <c r="AH1" s="1023"/>
      <c r="AI1" s="1023"/>
      <c r="AJ1" s="1023"/>
      <c r="AK1" s="1023"/>
      <c r="AL1" s="1023"/>
      <c r="AM1" s="1023"/>
      <c r="AN1" s="1023"/>
      <c r="AO1" s="1023"/>
      <c r="AP1" s="1023"/>
      <c r="AQ1" s="1023"/>
      <c r="AR1" s="1023"/>
      <c r="AS1" s="1023"/>
      <c r="AT1" s="1023"/>
      <c r="AU1" s="1023"/>
      <c r="AV1" s="1023"/>
      <c r="AW1" s="1023"/>
      <c r="AX1" s="1023"/>
      <c r="AY1" s="1023"/>
      <c r="AZ1" s="1023"/>
    </row>
    <row r="2" spans="1:53" s="333" customFormat="1" ht="18" thickBot="1" x14ac:dyDescent="0.4">
      <c r="A2" s="1052" t="s">
        <v>361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2"/>
      <c r="X2" s="1052"/>
      <c r="Y2" s="1052"/>
      <c r="Z2" s="1052"/>
      <c r="AA2" s="1052"/>
      <c r="AB2" s="1052"/>
      <c r="AC2" s="1052"/>
      <c r="AD2" s="1052"/>
      <c r="AE2" s="1052"/>
      <c r="AF2" s="1052"/>
      <c r="AG2" s="1052"/>
      <c r="AH2" s="1052"/>
      <c r="AI2" s="1052"/>
      <c r="AJ2" s="1052"/>
      <c r="AK2" s="1052"/>
      <c r="AL2" s="1052"/>
      <c r="AM2" s="1052"/>
      <c r="AN2" s="1052"/>
      <c r="AO2" s="1052"/>
      <c r="AP2" s="1052"/>
      <c r="AQ2" s="1052"/>
      <c r="AR2" s="1052"/>
      <c r="AS2" s="1052"/>
      <c r="AT2" s="1052"/>
      <c r="AU2" s="1052"/>
      <c r="AV2" s="1052"/>
      <c r="AW2" s="1052"/>
      <c r="AX2" s="1052"/>
      <c r="AY2" s="1052"/>
      <c r="AZ2" s="1052"/>
    </row>
    <row r="3" spans="1:53" s="61" customFormat="1" ht="30.75" customHeight="1" x14ac:dyDescent="0.3">
      <c r="A3" s="1053" t="s">
        <v>0</v>
      </c>
      <c r="B3" s="1055" t="s">
        <v>149</v>
      </c>
      <c r="C3" s="1056"/>
      <c r="D3" s="1057" t="s">
        <v>150</v>
      </c>
      <c r="E3" s="1057"/>
      <c r="F3" s="1055" t="s">
        <v>151</v>
      </c>
      <c r="G3" s="1056"/>
      <c r="H3" s="1055" t="s">
        <v>152</v>
      </c>
      <c r="I3" s="1056"/>
      <c r="J3" s="1055" t="s">
        <v>153</v>
      </c>
      <c r="K3" s="1056"/>
      <c r="L3" s="1057" t="s">
        <v>154</v>
      </c>
      <c r="M3" s="1057"/>
      <c r="N3" s="1055" t="s">
        <v>253</v>
      </c>
      <c r="O3" s="1056"/>
      <c r="P3" s="1055" t="s">
        <v>155</v>
      </c>
      <c r="Q3" s="1056"/>
      <c r="R3" s="1055" t="s">
        <v>156</v>
      </c>
      <c r="S3" s="1056"/>
      <c r="T3" s="1057" t="s">
        <v>157</v>
      </c>
      <c r="U3" s="1057"/>
      <c r="V3" s="1055" t="s">
        <v>158</v>
      </c>
      <c r="W3" s="1056"/>
      <c r="X3" s="1055" t="s">
        <v>159</v>
      </c>
      <c r="Y3" s="1057"/>
      <c r="Z3" s="1055" t="s">
        <v>359</v>
      </c>
      <c r="AA3" s="1056"/>
      <c r="AB3" s="1055" t="s">
        <v>160</v>
      </c>
      <c r="AC3" s="1057"/>
      <c r="AD3" s="1055" t="s">
        <v>161</v>
      </c>
      <c r="AE3" s="1056"/>
      <c r="AF3" s="1055" t="s">
        <v>162</v>
      </c>
      <c r="AG3" s="1056"/>
      <c r="AH3" s="1055" t="s">
        <v>163</v>
      </c>
      <c r="AI3" s="1056"/>
      <c r="AJ3" s="1055" t="s">
        <v>164</v>
      </c>
      <c r="AK3" s="1057"/>
      <c r="AL3" s="1055" t="s">
        <v>165</v>
      </c>
      <c r="AM3" s="1056"/>
      <c r="AN3" s="1055" t="s">
        <v>166</v>
      </c>
      <c r="AO3" s="1056"/>
      <c r="AP3" s="1055" t="s">
        <v>167</v>
      </c>
      <c r="AQ3" s="1056"/>
      <c r="AR3" s="1055" t="s">
        <v>168</v>
      </c>
      <c r="AS3" s="1056"/>
      <c r="AT3" s="1055" t="s">
        <v>169</v>
      </c>
      <c r="AU3" s="1056"/>
      <c r="AV3" s="1055" t="s">
        <v>1</v>
      </c>
      <c r="AW3" s="1057"/>
      <c r="AX3" s="1055" t="s">
        <v>170</v>
      </c>
      <c r="AY3" s="1056"/>
      <c r="AZ3" s="1055" t="s">
        <v>2</v>
      </c>
      <c r="BA3" s="1056"/>
    </row>
    <row r="4" spans="1:53" s="335" customFormat="1" ht="15.75" thickBot="1" x14ac:dyDescent="0.3">
      <c r="A4" s="1054"/>
      <c r="B4" s="334" t="s">
        <v>370</v>
      </c>
      <c r="C4" s="332" t="s">
        <v>353</v>
      </c>
      <c r="D4" s="334" t="s">
        <v>370</v>
      </c>
      <c r="E4" s="332" t="s">
        <v>353</v>
      </c>
      <c r="F4" s="334" t="s">
        <v>370</v>
      </c>
      <c r="G4" s="332" t="s">
        <v>353</v>
      </c>
      <c r="H4" s="334" t="s">
        <v>370</v>
      </c>
      <c r="I4" s="332" t="s">
        <v>353</v>
      </c>
      <c r="J4" s="334" t="s">
        <v>370</v>
      </c>
      <c r="K4" s="332" t="s">
        <v>353</v>
      </c>
      <c r="L4" s="334" t="s">
        <v>370</v>
      </c>
      <c r="M4" s="332" t="s">
        <v>353</v>
      </c>
      <c r="N4" s="334" t="s">
        <v>370</v>
      </c>
      <c r="O4" s="332" t="s">
        <v>353</v>
      </c>
      <c r="P4" s="334" t="s">
        <v>370</v>
      </c>
      <c r="Q4" s="332" t="s">
        <v>353</v>
      </c>
      <c r="R4" s="334" t="s">
        <v>370</v>
      </c>
      <c r="S4" s="332" t="s">
        <v>353</v>
      </c>
      <c r="T4" s="334" t="s">
        <v>370</v>
      </c>
      <c r="U4" s="332" t="s">
        <v>353</v>
      </c>
      <c r="V4" s="334" t="s">
        <v>370</v>
      </c>
      <c r="W4" s="332" t="s">
        <v>353</v>
      </c>
      <c r="X4" s="334" t="s">
        <v>370</v>
      </c>
      <c r="Y4" s="332" t="s">
        <v>353</v>
      </c>
      <c r="Z4" s="334" t="s">
        <v>370</v>
      </c>
      <c r="AA4" s="332" t="s">
        <v>353</v>
      </c>
      <c r="AB4" s="334" t="s">
        <v>370</v>
      </c>
      <c r="AC4" s="332" t="s">
        <v>353</v>
      </c>
      <c r="AD4" s="334" t="s">
        <v>370</v>
      </c>
      <c r="AE4" s="332" t="s">
        <v>353</v>
      </c>
      <c r="AF4" s="334" t="s">
        <v>370</v>
      </c>
      <c r="AG4" s="332" t="s">
        <v>353</v>
      </c>
      <c r="AH4" s="334" t="s">
        <v>370</v>
      </c>
      <c r="AI4" s="332" t="s">
        <v>353</v>
      </c>
      <c r="AJ4" s="334" t="s">
        <v>370</v>
      </c>
      <c r="AK4" s="332" t="s">
        <v>353</v>
      </c>
      <c r="AL4" s="334" t="s">
        <v>370</v>
      </c>
      <c r="AM4" s="332" t="s">
        <v>353</v>
      </c>
      <c r="AN4" s="334" t="s">
        <v>370</v>
      </c>
      <c r="AO4" s="332" t="s">
        <v>353</v>
      </c>
      <c r="AP4" s="334" t="s">
        <v>370</v>
      </c>
      <c r="AQ4" s="332" t="s">
        <v>353</v>
      </c>
      <c r="AR4" s="334" t="s">
        <v>370</v>
      </c>
      <c r="AS4" s="332" t="s">
        <v>353</v>
      </c>
      <c r="AT4" s="334" t="s">
        <v>370</v>
      </c>
      <c r="AU4" s="332" t="s">
        <v>353</v>
      </c>
      <c r="AV4" s="334" t="s">
        <v>370</v>
      </c>
      <c r="AW4" s="332" t="s">
        <v>353</v>
      </c>
      <c r="AX4" s="334" t="s">
        <v>370</v>
      </c>
      <c r="AY4" s="332" t="s">
        <v>353</v>
      </c>
      <c r="AZ4" s="334" t="s">
        <v>370</v>
      </c>
      <c r="BA4" s="332" t="s">
        <v>353</v>
      </c>
    </row>
    <row r="5" spans="1:53" s="65" customFormat="1" ht="14.25" x14ac:dyDescent="0.25">
      <c r="A5" s="251" t="s">
        <v>21</v>
      </c>
      <c r="B5" s="129"/>
      <c r="C5" s="131"/>
      <c r="D5" s="132"/>
      <c r="E5" s="136"/>
      <c r="F5" s="129"/>
      <c r="G5" s="131"/>
      <c r="H5" s="129"/>
      <c r="I5" s="131"/>
      <c r="J5" s="129"/>
      <c r="K5" s="131"/>
      <c r="L5" s="132"/>
      <c r="M5" s="136"/>
      <c r="N5" s="129"/>
      <c r="O5" s="131"/>
      <c r="P5" s="129"/>
      <c r="Q5" s="131"/>
      <c r="R5" s="129"/>
      <c r="S5" s="131"/>
      <c r="T5" s="132"/>
      <c r="U5" s="136"/>
      <c r="V5" s="137"/>
      <c r="W5" s="133"/>
      <c r="X5" s="163"/>
      <c r="Y5" s="778"/>
      <c r="Z5" s="162"/>
      <c r="AA5" s="164"/>
      <c r="AB5" s="130"/>
      <c r="AC5" s="136"/>
      <c r="AD5" s="129"/>
      <c r="AE5" s="131"/>
      <c r="AF5" s="162"/>
      <c r="AG5" s="164"/>
      <c r="AH5" s="162"/>
      <c r="AI5" s="164"/>
      <c r="AJ5" s="130"/>
      <c r="AK5" s="136"/>
      <c r="AL5" s="162"/>
      <c r="AM5" s="164"/>
      <c r="AN5" s="162"/>
      <c r="AO5" s="164"/>
      <c r="AP5" s="129"/>
      <c r="AQ5" s="131"/>
      <c r="AR5" s="162"/>
      <c r="AS5" s="164"/>
      <c r="AT5" s="162"/>
      <c r="AU5" s="164"/>
      <c r="AV5" s="162"/>
      <c r="AW5" s="778"/>
      <c r="AX5" s="129"/>
      <c r="AY5" s="131"/>
      <c r="AZ5" s="129"/>
      <c r="BA5" s="252"/>
    </row>
    <row r="6" spans="1:53" s="65" customFormat="1" ht="14.25" x14ac:dyDescent="0.3">
      <c r="A6" s="62" t="s">
        <v>22</v>
      </c>
      <c r="B6" s="96"/>
      <c r="C6" s="66"/>
      <c r="D6" s="97"/>
      <c r="E6" s="70"/>
      <c r="F6" s="67"/>
      <c r="G6" s="69"/>
      <c r="H6" s="67"/>
      <c r="I6" s="69"/>
      <c r="J6" s="67"/>
      <c r="K6" s="69"/>
      <c r="L6" s="97"/>
      <c r="M6" s="70"/>
      <c r="N6" s="67"/>
      <c r="O6" s="69"/>
      <c r="P6" s="67"/>
      <c r="Q6" s="69"/>
      <c r="R6" s="67"/>
      <c r="S6" s="69"/>
      <c r="T6" s="97"/>
      <c r="U6" s="70"/>
      <c r="V6" s="71"/>
      <c r="W6" s="73"/>
      <c r="X6" s="68"/>
      <c r="Y6" s="70"/>
      <c r="Z6" s="74"/>
      <c r="AA6" s="75"/>
      <c r="AB6" s="68"/>
      <c r="AC6" s="70"/>
      <c r="AD6" s="67"/>
      <c r="AE6" s="69"/>
      <c r="AF6" s="67"/>
      <c r="AG6" s="69"/>
      <c r="AH6" s="67"/>
      <c r="AI6" s="69"/>
      <c r="AJ6" s="68"/>
      <c r="AK6" s="70"/>
      <c r="AL6" s="67"/>
      <c r="AM6" s="69"/>
      <c r="AN6" s="783"/>
      <c r="AO6" s="64"/>
      <c r="AP6" s="67"/>
      <c r="AQ6" s="69"/>
      <c r="AR6" s="792"/>
      <c r="AS6" s="563"/>
      <c r="AT6" s="67"/>
      <c r="AU6" s="69"/>
      <c r="AV6" s="76"/>
      <c r="AW6" s="77"/>
      <c r="AX6" s="792"/>
      <c r="AY6" s="563"/>
      <c r="AZ6" s="76"/>
      <c r="BA6" s="69"/>
    </row>
    <row r="7" spans="1:53" s="65" customFormat="1" ht="14.25" x14ac:dyDescent="0.3">
      <c r="A7" s="247" t="s">
        <v>23</v>
      </c>
      <c r="B7" s="253">
        <v>113189</v>
      </c>
      <c r="C7" s="80">
        <v>94062</v>
      </c>
      <c r="D7" s="98">
        <v>69</v>
      </c>
      <c r="E7" s="81">
        <v>1242</v>
      </c>
      <c r="F7" s="71">
        <v>11126</v>
      </c>
      <c r="G7" s="73">
        <v>11114</v>
      </c>
      <c r="H7" s="71">
        <v>194044</v>
      </c>
      <c r="I7" s="73">
        <v>129395</v>
      </c>
      <c r="J7" s="71">
        <v>31272</v>
      </c>
      <c r="K7" s="73">
        <v>27424</v>
      </c>
      <c r="L7" s="98">
        <v>60184</v>
      </c>
      <c r="M7" s="81">
        <v>45661</v>
      </c>
      <c r="N7" s="71">
        <v>7029</v>
      </c>
      <c r="O7" s="73">
        <v>5497</v>
      </c>
      <c r="P7" s="71">
        <v>16898</v>
      </c>
      <c r="Q7" s="73">
        <v>15539</v>
      </c>
      <c r="R7" s="71"/>
      <c r="S7" s="73">
        <v>35543</v>
      </c>
      <c r="T7" s="98">
        <v>31528</v>
      </c>
      <c r="U7" s="81">
        <v>17094</v>
      </c>
      <c r="V7" s="71">
        <v>377768</v>
      </c>
      <c r="W7" s="73">
        <v>336353</v>
      </c>
      <c r="X7" s="72">
        <v>248290</v>
      </c>
      <c r="Y7" s="81">
        <v>243750</v>
      </c>
      <c r="Z7" s="780">
        <v>17424</v>
      </c>
      <c r="AA7" s="85">
        <v>13322</v>
      </c>
      <c r="AB7" s="68">
        <v>71060</v>
      </c>
      <c r="AC7" s="70">
        <v>49278</v>
      </c>
      <c r="AD7" s="71">
        <v>121407</v>
      </c>
      <c r="AE7" s="73">
        <v>114884</v>
      </c>
      <c r="AF7" s="71">
        <v>203189</v>
      </c>
      <c r="AG7" s="69">
        <v>203191</v>
      </c>
      <c r="AH7" s="71">
        <v>89770</v>
      </c>
      <c r="AI7" s="73">
        <v>63084</v>
      </c>
      <c r="AJ7" s="72">
        <v>46959</v>
      </c>
      <c r="AK7" s="81">
        <v>44507</v>
      </c>
      <c r="AL7" s="67"/>
      <c r="AM7" s="69"/>
      <c r="AN7" s="784">
        <v>605226</v>
      </c>
      <c r="AO7" s="519">
        <v>501444</v>
      </c>
      <c r="AP7" s="71">
        <v>27643.24</v>
      </c>
      <c r="AQ7" s="73">
        <v>25484</v>
      </c>
      <c r="AR7" s="86">
        <v>126384</v>
      </c>
      <c r="AS7" s="88">
        <v>63517</v>
      </c>
      <c r="AT7" s="71">
        <v>256433</v>
      </c>
      <c r="AU7" s="73">
        <v>162960</v>
      </c>
      <c r="AV7" s="89">
        <f t="shared" ref="AV7:AW10" si="0">SUM(B7+D7+F7+H7+J7+L7+N7+P7+R7+T7+V7+X7+Z7+AB7+AD7+AF7+AH7+AJ7+AL7+AN7+AP7+AR7+AT7)</f>
        <v>2656892.2400000002</v>
      </c>
      <c r="AW7" s="94">
        <f t="shared" si="0"/>
        <v>2204345</v>
      </c>
      <c r="AX7" s="86">
        <v>1655404.14</v>
      </c>
      <c r="AY7" s="88">
        <v>1328653.94</v>
      </c>
      <c r="AZ7" s="89">
        <f t="shared" ref="AZ7:BA10" si="1">AV7+AX7</f>
        <v>4312296.38</v>
      </c>
      <c r="BA7" s="90">
        <f t="shared" si="1"/>
        <v>3532998.94</v>
      </c>
    </row>
    <row r="8" spans="1:53" s="65" customFormat="1" ht="14.25" x14ac:dyDescent="0.3">
      <c r="A8" s="247" t="s">
        <v>24</v>
      </c>
      <c r="B8" s="253">
        <v>295160</v>
      </c>
      <c r="C8" s="80">
        <v>259689</v>
      </c>
      <c r="D8" s="98">
        <v>16095</v>
      </c>
      <c r="E8" s="81">
        <v>18304</v>
      </c>
      <c r="F8" s="71">
        <v>39132</v>
      </c>
      <c r="G8" s="73">
        <v>41487</v>
      </c>
      <c r="H8" s="71">
        <v>337176</v>
      </c>
      <c r="I8" s="73">
        <v>280581</v>
      </c>
      <c r="J8" s="71">
        <v>73241</v>
      </c>
      <c r="K8" s="73">
        <v>64462</v>
      </c>
      <c r="L8" s="98">
        <v>135430</v>
      </c>
      <c r="M8" s="81">
        <v>125463</v>
      </c>
      <c r="N8" s="71">
        <v>38555</v>
      </c>
      <c r="O8" s="73">
        <v>37632</v>
      </c>
      <c r="P8" s="71">
        <v>43868</v>
      </c>
      <c r="Q8" s="73">
        <v>38017</v>
      </c>
      <c r="R8" s="71"/>
      <c r="S8" s="73">
        <v>114766</v>
      </c>
      <c r="T8" s="98">
        <v>35448</v>
      </c>
      <c r="U8" s="81">
        <v>33520</v>
      </c>
      <c r="V8" s="71">
        <v>1079976</v>
      </c>
      <c r="W8" s="73">
        <v>892381</v>
      </c>
      <c r="X8" s="72">
        <v>953668</v>
      </c>
      <c r="Y8" s="81">
        <v>970781</v>
      </c>
      <c r="Z8" s="780">
        <v>58970</v>
      </c>
      <c r="AA8" s="85">
        <v>57387</v>
      </c>
      <c r="AB8" s="68">
        <v>115157</v>
      </c>
      <c r="AC8" s="70">
        <v>86666</v>
      </c>
      <c r="AD8" s="71">
        <v>262994</v>
      </c>
      <c r="AE8" s="73">
        <v>241423</v>
      </c>
      <c r="AF8" s="71">
        <v>652611</v>
      </c>
      <c r="AG8" s="73">
        <v>570559</v>
      </c>
      <c r="AH8" s="71">
        <v>229013</v>
      </c>
      <c r="AI8" s="73">
        <v>198804</v>
      </c>
      <c r="AJ8" s="72">
        <v>168918</v>
      </c>
      <c r="AK8" s="81">
        <v>157495</v>
      </c>
      <c r="AL8" s="67"/>
      <c r="AM8" s="69"/>
      <c r="AN8" s="784">
        <v>1488169</v>
      </c>
      <c r="AO8" s="519">
        <v>1280686</v>
      </c>
      <c r="AP8" s="71">
        <v>51201.18</v>
      </c>
      <c r="AQ8" s="73">
        <v>47781</v>
      </c>
      <c r="AR8" s="86">
        <v>116033</v>
      </c>
      <c r="AS8" s="88">
        <v>102277</v>
      </c>
      <c r="AT8" s="71">
        <v>447209</v>
      </c>
      <c r="AU8" s="73">
        <v>337488</v>
      </c>
      <c r="AV8" s="89">
        <f t="shared" si="0"/>
        <v>6638024.1799999997</v>
      </c>
      <c r="AW8" s="94">
        <f t="shared" si="0"/>
        <v>5957649</v>
      </c>
      <c r="AX8" s="86">
        <v>10641370.050000001</v>
      </c>
      <c r="AY8" s="88">
        <v>10111241.02</v>
      </c>
      <c r="AZ8" s="89">
        <f t="shared" si="1"/>
        <v>17279394.23</v>
      </c>
      <c r="BA8" s="90">
        <f t="shared" si="1"/>
        <v>16068890.02</v>
      </c>
    </row>
    <row r="9" spans="1:53" s="65" customFormat="1" ht="14.25" x14ac:dyDescent="0.3">
      <c r="A9" s="247" t="s">
        <v>25</v>
      </c>
      <c r="B9" s="253">
        <v>228989</v>
      </c>
      <c r="C9" s="80">
        <v>138387</v>
      </c>
      <c r="D9" s="98">
        <v>110</v>
      </c>
      <c r="E9" s="81">
        <v>11</v>
      </c>
      <c r="F9" s="71">
        <v>856</v>
      </c>
      <c r="G9" s="73">
        <v>702</v>
      </c>
      <c r="H9" s="71">
        <v>321202</v>
      </c>
      <c r="I9" s="73">
        <v>222882</v>
      </c>
      <c r="J9" s="71">
        <v>11797</v>
      </c>
      <c r="K9" s="73">
        <v>10452</v>
      </c>
      <c r="L9" s="98">
        <v>61705</v>
      </c>
      <c r="M9" s="81">
        <v>87599</v>
      </c>
      <c r="N9" s="71">
        <v>18136</v>
      </c>
      <c r="O9" s="73">
        <v>7339</v>
      </c>
      <c r="P9" s="71">
        <v>2439</v>
      </c>
      <c r="Q9" s="73">
        <v>2377</v>
      </c>
      <c r="R9" s="71"/>
      <c r="S9" s="73">
        <v>8045</v>
      </c>
      <c r="T9" s="98">
        <v>1162</v>
      </c>
      <c r="U9" s="81">
        <v>1509</v>
      </c>
      <c r="V9" s="71">
        <v>714546</v>
      </c>
      <c r="W9" s="73">
        <v>699948</v>
      </c>
      <c r="X9" s="72">
        <v>514071</v>
      </c>
      <c r="Y9" s="81">
        <v>425788</v>
      </c>
      <c r="Z9" s="780">
        <v>18022</v>
      </c>
      <c r="AA9" s="85">
        <v>17196</v>
      </c>
      <c r="AB9" s="68">
        <v>78828</v>
      </c>
      <c r="AC9" s="70">
        <v>72631</v>
      </c>
      <c r="AD9" s="71">
        <v>166424</v>
      </c>
      <c r="AE9" s="73">
        <v>101531</v>
      </c>
      <c r="AF9" s="71">
        <v>134622</v>
      </c>
      <c r="AG9" s="73">
        <v>107777</v>
      </c>
      <c r="AH9" s="71">
        <v>39536</v>
      </c>
      <c r="AI9" s="73">
        <v>23645</v>
      </c>
      <c r="AJ9" s="72">
        <v>2108</v>
      </c>
      <c r="AK9" s="81">
        <v>3209</v>
      </c>
      <c r="AL9" s="67"/>
      <c r="AM9" s="69"/>
      <c r="AN9" s="784">
        <v>703624</v>
      </c>
      <c r="AO9" s="519">
        <v>527406</v>
      </c>
      <c r="AP9" s="71">
        <v>18121.78</v>
      </c>
      <c r="AQ9" s="73">
        <v>11758</v>
      </c>
      <c r="AR9" s="86">
        <v>37137</v>
      </c>
      <c r="AS9" s="88">
        <v>15779</v>
      </c>
      <c r="AT9" s="71">
        <v>46094</v>
      </c>
      <c r="AU9" s="73">
        <v>25045</v>
      </c>
      <c r="AV9" s="89">
        <f t="shared" si="0"/>
        <v>3119529.78</v>
      </c>
      <c r="AW9" s="94">
        <f t="shared" si="0"/>
        <v>2511016</v>
      </c>
      <c r="AX9" s="86">
        <v>10769983.68</v>
      </c>
      <c r="AY9" s="88">
        <v>7189450.5999999996</v>
      </c>
      <c r="AZ9" s="89">
        <f t="shared" si="1"/>
        <v>13889513.459999999</v>
      </c>
      <c r="BA9" s="90">
        <f t="shared" si="1"/>
        <v>9700466.5999999996</v>
      </c>
    </row>
    <row r="10" spans="1:53" s="65" customFormat="1" ht="14.25" x14ac:dyDescent="0.3">
      <c r="A10" s="249" t="s">
        <v>26</v>
      </c>
      <c r="B10" s="63">
        <f t="shared" ref="B10:AG10" si="2">SUM(B7:B9)</f>
        <v>637338</v>
      </c>
      <c r="C10" s="353">
        <f t="shared" si="2"/>
        <v>492138</v>
      </c>
      <c r="D10" s="91">
        <f t="shared" si="2"/>
        <v>16274</v>
      </c>
      <c r="E10" s="349">
        <f t="shared" si="2"/>
        <v>19557</v>
      </c>
      <c r="F10" s="63">
        <f t="shared" si="2"/>
        <v>51114</v>
      </c>
      <c r="G10" s="353">
        <f t="shared" si="2"/>
        <v>53303</v>
      </c>
      <c r="H10" s="63">
        <f t="shared" si="2"/>
        <v>852422</v>
      </c>
      <c r="I10" s="353">
        <f t="shared" si="2"/>
        <v>632858</v>
      </c>
      <c r="J10" s="63">
        <f t="shared" si="2"/>
        <v>116310</v>
      </c>
      <c r="K10" s="353">
        <f t="shared" si="2"/>
        <v>102338</v>
      </c>
      <c r="L10" s="91">
        <f t="shared" si="2"/>
        <v>257319</v>
      </c>
      <c r="M10" s="349">
        <f t="shared" si="2"/>
        <v>258723</v>
      </c>
      <c r="N10" s="63">
        <f t="shared" si="2"/>
        <v>63720</v>
      </c>
      <c r="O10" s="353">
        <f t="shared" si="2"/>
        <v>50468</v>
      </c>
      <c r="P10" s="63">
        <f t="shared" si="2"/>
        <v>63205</v>
      </c>
      <c r="Q10" s="353">
        <f t="shared" si="2"/>
        <v>55933</v>
      </c>
      <c r="R10" s="63">
        <f t="shared" si="2"/>
        <v>0</v>
      </c>
      <c r="S10" s="353">
        <f t="shared" si="2"/>
        <v>158354</v>
      </c>
      <c r="T10" s="91">
        <f t="shared" si="2"/>
        <v>68138</v>
      </c>
      <c r="U10" s="349">
        <f t="shared" si="2"/>
        <v>52123</v>
      </c>
      <c r="V10" s="63">
        <f t="shared" si="2"/>
        <v>2172290</v>
      </c>
      <c r="W10" s="353">
        <f t="shared" si="2"/>
        <v>1928682</v>
      </c>
      <c r="X10" s="63">
        <f t="shared" si="2"/>
        <v>1716029</v>
      </c>
      <c r="Y10" s="349">
        <f t="shared" si="2"/>
        <v>1640319</v>
      </c>
      <c r="Z10" s="63">
        <f t="shared" si="2"/>
        <v>94416</v>
      </c>
      <c r="AA10" s="353">
        <f t="shared" si="2"/>
        <v>87905</v>
      </c>
      <c r="AB10" s="63">
        <f t="shared" si="2"/>
        <v>265045</v>
      </c>
      <c r="AC10" s="349">
        <f t="shared" si="2"/>
        <v>208575</v>
      </c>
      <c r="AD10" s="63">
        <f t="shared" si="2"/>
        <v>550825</v>
      </c>
      <c r="AE10" s="353">
        <f t="shared" si="2"/>
        <v>457838</v>
      </c>
      <c r="AF10" s="63">
        <f t="shared" si="2"/>
        <v>990422</v>
      </c>
      <c r="AG10" s="353">
        <f t="shared" si="2"/>
        <v>881527</v>
      </c>
      <c r="AH10" s="63">
        <f t="shared" ref="AH10:AU10" si="3">SUM(AH7:AH9)</f>
        <v>358319</v>
      </c>
      <c r="AI10" s="353">
        <f t="shared" si="3"/>
        <v>285533</v>
      </c>
      <c r="AJ10" s="63">
        <f t="shared" si="3"/>
        <v>217985</v>
      </c>
      <c r="AK10" s="349">
        <f t="shared" si="3"/>
        <v>205211</v>
      </c>
      <c r="AL10" s="63">
        <f t="shared" si="3"/>
        <v>0</v>
      </c>
      <c r="AM10" s="353">
        <f t="shared" si="3"/>
        <v>0</v>
      </c>
      <c r="AN10" s="63">
        <f t="shared" si="3"/>
        <v>2797019</v>
      </c>
      <c r="AO10" s="353">
        <f t="shared" si="3"/>
        <v>2309536</v>
      </c>
      <c r="AP10" s="63">
        <f t="shared" si="3"/>
        <v>96966.2</v>
      </c>
      <c r="AQ10" s="353">
        <f t="shared" si="3"/>
        <v>85023</v>
      </c>
      <c r="AR10" s="63">
        <f t="shared" si="3"/>
        <v>279554</v>
      </c>
      <c r="AS10" s="353">
        <f t="shared" si="3"/>
        <v>181573</v>
      </c>
      <c r="AT10" s="63">
        <f t="shared" si="3"/>
        <v>749736</v>
      </c>
      <c r="AU10" s="353">
        <f t="shared" si="3"/>
        <v>525493</v>
      </c>
      <c r="AV10" s="89">
        <f t="shared" si="0"/>
        <v>12414446.199999999</v>
      </c>
      <c r="AW10" s="94">
        <f t="shared" si="0"/>
        <v>10673010</v>
      </c>
      <c r="AX10" s="89">
        <f>SUM(AX7:AX9)</f>
        <v>23066757.870000001</v>
      </c>
      <c r="AY10" s="101">
        <f>SUM(AY7:AY9)</f>
        <v>18629345.559999999</v>
      </c>
      <c r="AZ10" s="89">
        <f t="shared" si="1"/>
        <v>35481204.07</v>
      </c>
      <c r="BA10" s="90">
        <f t="shared" si="1"/>
        <v>29302355.559999999</v>
      </c>
    </row>
    <row r="11" spans="1:53" s="65" customFormat="1" ht="14.25" x14ac:dyDescent="0.3">
      <c r="A11" s="247" t="s">
        <v>27</v>
      </c>
      <c r="B11" s="253"/>
      <c r="C11" s="80"/>
      <c r="D11" s="98"/>
      <c r="E11" s="81"/>
      <c r="F11" s="71"/>
      <c r="G11" s="73"/>
      <c r="H11" s="71"/>
      <c r="I11" s="73"/>
      <c r="J11" s="71"/>
      <c r="K11" s="73"/>
      <c r="L11" s="98"/>
      <c r="M11" s="81"/>
      <c r="N11" s="71"/>
      <c r="O11" s="73"/>
      <c r="P11" s="71"/>
      <c r="Q11" s="73"/>
      <c r="R11" s="71"/>
      <c r="S11" s="73"/>
      <c r="T11" s="98"/>
      <c r="U11" s="81"/>
      <c r="V11" s="71"/>
      <c r="W11" s="73"/>
      <c r="X11" s="72"/>
      <c r="Y11" s="81"/>
      <c r="Z11" s="71"/>
      <c r="AA11" s="73"/>
      <c r="AB11" s="68"/>
      <c r="AC11" s="70"/>
      <c r="AD11" s="71"/>
      <c r="AE11" s="73"/>
      <c r="AF11" s="71"/>
      <c r="AG11" s="73"/>
      <c r="AH11" s="71"/>
      <c r="AI11" s="73"/>
      <c r="AJ11" s="72"/>
      <c r="AK11" s="81"/>
      <c r="AL11" s="67"/>
      <c r="AM11" s="69"/>
      <c r="AN11" s="783"/>
      <c r="AO11" s="64"/>
      <c r="AP11" s="71"/>
      <c r="AQ11" s="73"/>
      <c r="AR11" s="86"/>
      <c r="AS11" s="88"/>
      <c r="AT11" s="71"/>
      <c r="AU11" s="73"/>
      <c r="AV11" s="89"/>
      <c r="AW11" s="94"/>
      <c r="AX11" s="86"/>
      <c r="AY11" s="88"/>
      <c r="AZ11" s="89"/>
      <c r="BA11" s="90"/>
    </row>
    <row r="12" spans="1:53" s="65" customFormat="1" ht="14.25" x14ac:dyDescent="0.3">
      <c r="A12" s="247" t="s">
        <v>28</v>
      </c>
      <c r="B12" s="253">
        <f t="shared" ref="B12:L12" si="4">B10</f>
        <v>637338</v>
      </c>
      <c r="C12" s="789">
        <f t="shared" si="4"/>
        <v>492138</v>
      </c>
      <c r="D12" s="99">
        <f t="shared" si="4"/>
        <v>16274</v>
      </c>
      <c r="E12" s="100">
        <f t="shared" si="4"/>
        <v>19557</v>
      </c>
      <c r="F12" s="89">
        <f t="shared" si="4"/>
        <v>51114</v>
      </c>
      <c r="G12" s="101">
        <f t="shared" si="4"/>
        <v>53303</v>
      </c>
      <c r="H12" s="89">
        <f t="shared" si="4"/>
        <v>852422</v>
      </c>
      <c r="I12" s="101">
        <f t="shared" si="4"/>
        <v>632858</v>
      </c>
      <c r="J12" s="89">
        <f t="shared" si="4"/>
        <v>116310</v>
      </c>
      <c r="K12" s="101">
        <f t="shared" si="4"/>
        <v>102338</v>
      </c>
      <c r="L12" s="99">
        <f t="shared" si="4"/>
        <v>257319</v>
      </c>
      <c r="M12" s="100">
        <f t="shared" ref="M12:Y12" si="5">M10</f>
        <v>258723</v>
      </c>
      <c r="N12" s="89">
        <f t="shared" si="5"/>
        <v>63720</v>
      </c>
      <c r="O12" s="101">
        <f t="shared" si="5"/>
        <v>50468</v>
      </c>
      <c r="P12" s="89">
        <f t="shared" si="5"/>
        <v>63205</v>
      </c>
      <c r="Q12" s="101">
        <f t="shared" si="5"/>
        <v>55933</v>
      </c>
      <c r="R12" s="89">
        <f t="shared" si="5"/>
        <v>0</v>
      </c>
      <c r="S12" s="101">
        <f t="shared" si="5"/>
        <v>158354</v>
      </c>
      <c r="T12" s="99">
        <f t="shared" si="5"/>
        <v>68138</v>
      </c>
      <c r="U12" s="100">
        <f t="shared" si="5"/>
        <v>52123</v>
      </c>
      <c r="V12" s="89">
        <f t="shared" si="5"/>
        <v>2172290</v>
      </c>
      <c r="W12" s="101">
        <f t="shared" si="5"/>
        <v>1928682</v>
      </c>
      <c r="X12" s="99">
        <f t="shared" si="5"/>
        <v>1716029</v>
      </c>
      <c r="Y12" s="100">
        <f t="shared" si="5"/>
        <v>1640319</v>
      </c>
      <c r="Z12" s="71">
        <f>Z10</f>
        <v>94416</v>
      </c>
      <c r="AA12" s="562">
        <f>AA10</f>
        <v>87905</v>
      </c>
      <c r="AB12" s="97">
        <f>AB10</f>
        <v>265045</v>
      </c>
      <c r="AC12" s="790">
        <f>AC10</f>
        <v>208575</v>
      </c>
      <c r="AD12" s="71">
        <f>AD10</f>
        <v>550825</v>
      </c>
      <c r="AE12" s="556">
        <f t="shared" ref="AE12:AS12" si="6">AE10</f>
        <v>457838</v>
      </c>
      <c r="AF12" s="71">
        <f t="shared" si="6"/>
        <v>990422</v>
      </c>
      <c r="AG12" s="556">
        <f t="shared" si="6"/>
        <v>881527</v>
      </c>
      <c r="AH12" s="71">
        <f t="shared" si="6"/>
        <v>358319</v>
      </c>
      <c r="AI12" s="556">
        <f t="shared" si="6"/>
        <v>285533</v>
      </c>
      <c r="AJ12" s="98">
        <f t="shared" si="6"/>
        <v>217985</v>
      </c>
      <c r="AK12" s="781">
        <f t="shared" si="6"/>
        <v>205211</v>
      </c>
      <c r="AL12" s="71">
        <f t="shared" si="6"/>
        <v>0</v>
      </c>
      <c r="AM12" s="556">
        <f t="shared" si="6"/>
        <v>0</v>
      </c>
      <c r="AN12" s="71">
        <f t="shared" si="6"/>
        <v>2797019</v>
      </c>
      <c r="AO12" s="556">
        <f t="shared" si="6"/>
        <v>2309536</v>
      </c>
      <c r="AP12" s="71">
        <f t="shared" si="6"/>
        <v>96966.2</v>
      </c>
      <c r="AQ12" s="556">
        <f t="shared" si="6"/>
        <v>85023</v>
      </c>
      <c r="AR12" s="71">
        <f t="shared" si="6"/>
        <v>279554</v>
      </c>
      <c r="AS12" s="556">
        <f t="shared" si="6"/>
        <v>181573</v>
      </c>
      <c r="AT12" s="86">
        <f>AT10</f>
        <v>749736</v>
      </c>
      <c r="AU12" s="88">
        <f>AU10</f>
        <v>525493</v>
      </c>
      <c r="AV12" s="89">
        <f>SUM(B12+D12+F12+H12+J12+L12+N12+P12+R12+T12+V12+X12+Z12+AB12+AD12+AF12+AH12+AJ12+AL12+AN12+AP12+AR12+AT12)</f>
        <v>12414446.199999999</v>
      </c>
      <c r="AW12" s="94">
        <f>SUM(C12+E12+G12+I12+K12+M12+O12+Q12+S12+U12+W12+Y12+AA12+AC12+AE12+AG12+AI12+AK12+AM12+AO12+AQ12+AS12+AU12)</f>
        <v>10673010</v>
      </c>
      <c r="AX12" s="86">
        <v>23046937.440000001</v>
      </c>
      <c r="AY12" s="564">
        <v>18609702.050000001</v>
      </c>
      <c r="AZ12" s="89">
        <f>AV12+AX12</f>
        <v>35461383.640000001</v>
      </c>
      <c r="BA12" s="90">
        <f>AW12+AY12</f>
        <v>29282712.050000001</v>
      </c>
    </row>
    <row r="13" spans="1:53" s="65" customFormat="1" ht="14.25" x14ac:dyDescent="0.3">
      <c r="A13" s="62" t="s">
        <v>29</v>
      </c>
      <c r="B13" s="253"/>
      <c r="C13" s="80"/>
      <c r="D13" s="98"/>
      <c r="E13" s="81"/>
      <c r="F13" s="71"/>
      <c r="G13" s="73"/>
      <c r="H13" s="71"/>
      <c r="I13" s="73"/>
      <c r="J13" s="71"/>
      <c r="K13" s="73"/>
      <c r="L13" s="98"/>
      <c r="M13" s="81"/>
      <c r="N13" s="71"/>
      <c r="O13" s="73"/>
      <c r="P13" s="71"/>
      <c r="Q13" s="73"/>
      <c r="R13" s="71"/>
      <c r="S13" s="73"/>
      <c r="T13" s="98"/>
      <c r="U13" s="81"/>
      <c r="V13" s="71"/>
      <c r="W13" s="73"/>
      <c r="X13" s="72"/>
      <c r="Y13" s="81"/>
      <c r="Z13" s="71"/>
      <c r="AA13" s="73"/>
      <c r="AB13" s="68"/>
      <c r="AC13" s="70"/>
      <c r="AD13" s="71"/>
      <c r="AE13" s="73"/>
      <c r="AF13" s="71"/>
      <c r="AG13" s="73"/>
      <c r="AH13" s="71"/>
      <c r="AI13" s="73"/>
      <c r="AJ13" s="72"/>
      <c r="AK13" s="81"/>
      <c r="AL13" s="67"/>
      <c r="AM13" s="69"/>
      <c r="AN13" s="785"/>
      <c r="AO13" s="64"/>
      <c r="AP13" s="71"/>
      <c r="AQ13" s="73"/>
      <c r="AR13" s="86"/>
      <c r="AS13" s="88"/>
      <c r="AT13" s="71"/>
      <c r="AU13" s="73"/>
      <c r="AV13" s="89"/>
      <c r="AW13" s="94"/>
      <c r="AX13" s="86">
        <v>19820.43</v>
      </c>
      <c r="AY13" s="88">
        <v>19643.509999999998</v>
      </c>
      <c r="AZ13" s="89"/>
      <c r="BA13" s="90"/>
    </row>
    <row r="14" spans="1:53" s="347" customFormat="1" thickBot="1" x14ac:dyDescent="0.35">
      <c r="A14" s="336" t="s">
        <v>26</v>
      </c>
      <c r="B14" s="337">
        <f>B10</f>
        <v>637338</v>
      </c>
      <c r="C14" s="338">
        <f t="shared" ref="C14:W14" si="7">C10</f>
        <v>492138</v>
      </c>
      <c r="D14" s="339">
        <f t="shared" si="7"/>
        <v>16274</v>
      </c>
      <c r="E14" s="340">
        <f t="shared" si="7"/>
        <v>19557</v>
      </c>
      <c r="F14" s="337">
        <f t="shared" si="7"/>
        <v>51114</v>
      </c>
      <c r="G14" s="341">
        <f t="shared" si="7"/>
        <v>53303</v>
      </c>
      <c r="H14" s="337">
        <f t="shared" si="7"/>
        <v>852422</v>
      </c>
      <c r="I14" s="341">
        <f t="shared" si="7"/>
        <v>632858</v>
      </c>
      <c r="J14" s="337">
        <f t="shared" si="7"/>
        <v>116310</v>
      </c>
      <c r="K14" s="341">
        <f t="shared" si="7"/>
        <v>102338</v>
      </c>
      <c r="L14" s="339">
        <f t="shared" si="7"/>
        <v>257319</v>
      </c>
      <c r="M14" s="340">
        <f t="shared" si="7"/>
        <v>258723</v>
      </c>
      <c r="N14" s="337">
        <f t="shared" si="7"/>
        <v>63720</v>
      </c>
      <c r="O14" s="341">
        <f t="shared" si="7"/>
        <v>50468</v>
      </c>
      <c r="P14" s="337">
        <f t="shared" si="7"/>
        <v>63205</v>
      </c>
      <c r="Q14" s="341">
        <f t="shared" si="7"/>
        <v>55933</v>
      </c>
      <c r="R14" s="337">
        <f t="shared" si="7"/>
        <v>0</v>
      </c>
      <c r="S14" s="341">
        <f t="shared" si="7"/>
        <v>158354</v>
      </c>
      <c r="T14" s="339">
        <f t="shared" si="7"/>
        <v>68138</v>
      </c>
      <c r="U14" s="340">
        <f t="shared" si="7"/>
        <v>52123</v>
      </c>
      <c r="V14" s="337">
        <f t="shared" si="7"/>
        <v>2172290</v>
      </c>
      <c r="W14" s="341">
        <f t="shared" si="7"/>
        <v>1928682</v>
      </c>
      <c r="X14" s="448">
        <f t="shared" ref="X14:AC14" si="8">X10</f>
        <v>1716029</v>
      </c>
      <c r="Y14" s="779">
        <f t="shared" si="8"/>
        <v>1640319</v>
      </c>
      <c r="Z14" s="342">
        <f t="shared" si="8"/>
        <v>94416</v>
      </c>
      <c r="AA14" s="449">
        <f t="shared" si="8"/>
        <v>87905</v>
      </c>
      <c r="AB14" s="344">
        <f t="shared" si="8"/>
        <v>265045</v>
      </c>
      <c r="AC14" s="791">
        <f t="shared" si="8"/>
        <v>208575</v>
      </c>
      <c r="AD14" s="342">
        <f t="shared" ref="AD14:AI14" si="9">AD10</f>
        <v>550825</v>
      </c>
      <c r="AE14" s="343">
        <f t="shared" si="9"/>
        <v>457838</v>
      </c>
      <c r="AF14" s="342">
        <f t="shared" si="9"/>
        <v>990422</v>
      </c>
      <c r="AG14" s="449">
        <f t="shared" si="9"/>
        <v>881527</v>
      </c>
      <c r="AH14" s="342">
        <f t="shared" si="9"/>
        <v>358319</v>
      </c>
      <c r="AI14" s="449">
        <f t="shared" si="9"/>
        <v>285533</v>
      </c>
      <c r="AJ14" s="342">
        <f t="shared" ref="AJ14:AU14" si="10">AJ10</f>
        <v>217985</v>
      </c>
      <c r="AK14" s="782">
        <f t="shared" si="10"/>
        <v>205211</v>
      </c>
      <c r="AL14" s="342">
        <f t="shared" si="10"/>
        <v>0</v>
      </c>
      <c r="AM14" s="449">
        <f t="shared" si="10"/>
        <v>0</v>
      </c>
      <c r="AN14" s="786">
        <f t="shared" si="10"/>
        <v>2797019</v>
      </c>
      <c r="AO14" s="450">
        <f t="shared" si="10"/>
        <v>2309536</v>
      </c>
      <c r="AP14" s="342">
        <f t="shared" si="10"/>
        <v>96966.2</v>
      </c>
      <c r="AQ14" s="787">
        <f t="shared" si="10"/>
        <v>85023</v>
      </c>
      <c r="AR14" s="345">
        <f t="shared" si="10"/>
        <v>279554</v>
      </c>
      <c r="AS14" s="346">
        <f t="shared" si="10"/>
        <v>181573</v>
      </c>
      <c r="AT14" s="345">
        <f t="shared" si="10"/>
        <v>749736</v>
      </c>
      <c r="AU14" s="346">
        <f t="shared" si="10"/>
        <v>525493</v>
      </c>
      <c r="AV14" s="342">
        <f>SUM(B14+D14+F14+H14+J14+L14+N14+P14+R14+T14+V14+X14+Z14+AB14+AD14+AF14+AH14+AJ14+AL14+AN14+AP14+AR14+AT14)</f>
        <v>12414446.199999999</v>
      </c>
      <c r="AW14" s="779">
        <f>SUM(C14+E14+G14+I14+K14+M14+O14+Q14+S14+U14+W14+Y14+AA14+AC14+AE14+AG14+AI14+AK14+AM14+AO14+AQ14+AS14+AU14)</f>
        <v>10673010</v>
      </c>
      <c r="AX14" s="345">
        <f>AX10</f>
        <v>23066757.870000001</v>
      </c>
      <c r="AY14" s="565">
        <f>AY10</f>
        <v>18629345.559999999</v>
      </c>
      <c r="AZ14" s="342">
        <f>AV14+AX14</f>
        <v>35481204.07</v>
      </c>
      <c r="BA14" s="343">
        <f>AW14+AY14</f>
        <v>29302355.559999999</v>
      </c>
    </row>
  </sheetData>
  <mergeCells count="29">
    <mergeCell ref="AB3:AC3"/>
    <mergeCell ref="AD3:AE3"/>
    <mergeCell ref="AH3:AI3"/>
    <mergeCell ref="AZ3:BA3"/>
    <mergeCell ref="AX3:AY3"/>
    <mergeCell ref="AJ3:AK3"/>
    <mergeCell ref="AL3:AM3"/>
    <mergeCell ref="AN3:AO3"/>
    <mergeCell ref="AP3:AQ3"/>
    <mergeCell ref="AR3:AS3"/>
    <mergeCell ref="AT3:AU3"/>
    <mergeCell ref="AV3:AW3"/>
    <mergeCell ref="AF3:AG3"/>
    <mergeCell ref="A1:AZ1"/>
    <mergeCell ref="A2:AZ2"/>
    <mergeCell ref="A3:A4"/>
    <mergeCell ref="N3:O3"/>
    <mergeCell ref="P3:Q3"/>
    <mergeCell ref="R3:S3"/>
    <mergeCell ref="B3:C3"/>
    <mergeCell ref="D3:E3"/>
    <mergeCell ref="F3:G3"/>
    <mergeCell ref="H3:I3"/>
    <mergeCell ref="J3:K3"/>
    <mergeCell ref="L3:M3"/>
    <mergeCell ref="V3:W3"/>
    <mergeCell ref="X3:Y3"/>
    <mergeCell ref="T3:U3"/>
    <mergeCell ref="Z3:AA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BA28"/>
  <sheetViews>
    <sheetView workbookViewId="0">
      <pane xSplit="1" topLeftCell="B1" activePane="topRight" state="frozen"/>
      <selection pane="topRight" activeCell="AN28" sqref="AN28"/>
    </sheetView>
  </sheetViews>
  <sheetFormatPr defaultColWidth="30.7109375" defaultRowHeight="12.75" x14ac:dyDescent="0.25"/>
  <cols>
    <col min="1" max="1" width="24.140625" style="141" customWidth="1"/>
    <col min="2" max="13" width="12.85546875" style="141" bestFit="1" customWidth="1"/>
    <col min="14" max="14" width="11.7109375" style="141" customWidth="1"/>
    <col min="15" max="21" width="12.85546875" style="141" bestFit="1" customWidth="1"/>
    <col min="22" max="22" width="11.42578125" style="141" customWidth="1"/>
    <col min="23" max="53" width="12.85546875" style="141" bestFit="1" customWidth="1"/>
    <col min="54" max="16384" width="30.7109375" style="141"/>
  </cols>
  <sheetData>
    <row r="1" spans="1:53" s="161" customFormat="1" ht="14.25" x14ac:dyDescent="0.3">
      <c r="A1" s="1028" t="s">
        <v>144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  <c r="L1" s="1028"/>
      <c r="M1" s="1028"/>
      <c r="N1" s="1028"/>
      <c r="O1" s="1028"/>
      <c r="P1" s="1028"/>
      <c r="Q1" s="1028"/>
      <c r="R1" s="1028"/>
      <c r="S1" s="1028"/>
      <c r="T1" s="1028"/>
      <c r="U1" s="1028"/>
      <c r="V1" s="1028"/>
      <c r="W1" s="1028"/>
      <c r="X1" s="1028"/>
      <c r="Y1" s="1028"/>
      <c r="Z1" s="1028"/>
      <c r="AA1" s="1028"/>
      <c r="AB1" s="1028"/>
      <c r="AC1" s="1028"/>
      <c r="AD1" s="1028"/>
      <c r="AE1" s="1028"/>
      <c r="AF1" s="1028"/>
      <c r="AG1" s="1028"/>
      <c r="AH1" s="1028"/>
      <c r="AI1" s="1028"/>
      <c r="AJ1" s="1028"/>
      <c r="AK1" s="1028"/>
      <c r="AL1" s="1028"/>
      <c r="AM1" s="1028"/>
      <c r="AN1" s="1028"/>
      <c r="AO1" s="1028"/>
      <c r="AP1" s="1028"/>
      <c r="AQ1" s="1028"/>
      <c r="AR1" s="1028"/>
      <c r="AS1" s="1028"/>
      <c r="AT1" s="1028"/>
      <c r="AU1" s="1028"/>
      <c r="AV1" s="1028"/>
      <c r="AW1" s="1028"/>
      <c r="AX1" s="1028"/>
      <c r="AY1" s="1028"/>
      <c r="AZ1" s="1028"/>
    </row>
    <row r="2" spans="1:53" s="348" customFormat="1" ht="16.5" thickBot="1" x14ac:dyDescent="0.4">
      <c r="A2" s="1058" t="s">
        <v>362</v>
      </c>
      <c r="B2" s="1058"/>
      <c r="C2" s="1058"/>
      <c r="D2" s="1058"/>
      <c r="E2" s="1058"/>
      <c r="F2" s="1058"/>
      <c r="G2" s="1058"/>
      <c r="H2" s="1058"/>
      <c r="I2" s="1058"/>
      <c r="J2" s="1058"/>
      <c r="K2" s="1058"/>
      <c r="L2" s="1058"/>
      <c r="M2" s="1058"/>
      <c r="N2" s="1058"/>
      <c r="O2" s="1058"/>
      <c r="P2" s="1058"/>
      <c r="Q2" s="1058"/>
      <c r="R2" s="1058"/>
      <c r="S2" s="1058"/>
      <c r="T2" s="1058"/>
      <c r="U2" s="1058"/>
      <c r="V2" s="1058"/>
      <c r="W2" s="1058"/>
      <c r="X2" s="1058"/>
      <c r="Y2" s="1058"/>
      <c r="Z2" s="1058"/>
      <c r="AA2" s="1058"/>
      <c r="AB2" s="1058"/>
      <c r="AC2" s="1058"/>
      <c r="AD2" s="1058"/>
      <c r="AE2" s="1058"/>
      <c r="AF2" s="1058"/>
      <c r="AG2" s="1058"/>
      <c r="AH2" s="1058"/>
      <c r="AI2" s="1058"/>
      <c r="AJ2" s="1058"/>
      <c r="AK2" s="1058"/>
      <c r="AL2" s="1058"/>
      <c r="AM2" s="1058"/>
      <c r="AN2" s="1058"/>
      <c r="AO2" s="1058"/>
      <c r="AP2" s="1058"/>
      <c r="AQ2" s="1058"/>
      <c r="AR2" s="1058"/>
      <c r="AS2" s="1058"/>
      <c r="AT2" s="1058"/>
      <c r="AU2" s="1058"/>
      <c r="AV2" s="1058"/>
      <c r="AW2" s="1058"/>
      <c r="AX2" s="1058"/>
      <c r="AY2" s="1058"/>
      <c r="AZ2" s="1058"/>
    </row>
    <row r="3" spans="1:53" ht="38.25" customHeight="1" thickBot="1" x14ac:dyDescent="0.3">
      <c r="A3" s="1059" t="s">
        <v>0</v>
      </c>
      <c r="B3" s="1021" t="s">
        <v>149</v>
      </c>
      <c r="C3" s="1022"/>
      <c r="D3" s="1021" t="s">
        <v>150</v>
      </c>
      <c r="E3" s="1022"/>
      <c r="F3" s="1061" t="s">
        <v>151</v>
      </c>
      <c r="G3" s="1022"/>
      <c r="H3" s="1061" t="s">
        <v>152</v>
      </c>
      <c r="I3" s="1022"/>
      <c r="J3" s="1021" t="s">
        <v>153</v>
      </c>
      <c r="K3" s="1022"/>
      <c r="L3" s="1021" t="s">
        <v>154</v>
      </c>
      <c r="M3" s="1022"/>
      <c r="N3" s="1021" t="s">
        <v>253</v>
      </c>
      <c r="O3" s="1061"/>
      <c r="P3" s="1021" t="s">
        <v>155</v>
      </c>
      <c r="Q3" s="1022"/>
      <c r="R3" s="1021" t="s">
        <v>156</v>
      </c>
      <c r="S3" s="1022"/>
      <c r="T3" s="1021" t="s">
        <v>157</v>
      </c>
      <c r="U3" s="1022"/>
      <c r="V3" s="1021" t="s">
        <v>158</v>
      </c>
      <c r="W3" s="1022"/>
      <c r="X3" s="1021" t="s">
        <v>159</v>
      </c>
      <c r="Y3" s="1061"/>
      <c r="Z3" s="1021" t="s">
        <v>359</v>
      </c>
      <c r="AA3" s="1022"/>
      <c r="AB3" s="1021" t="s">
        <v>160</v>
      </c>
      <c r="AC3" s="1022"/>
      <c r="AD3" s="1061" t="s">
        <v>161</v>
      </c>
      <c r="AE3" s="1061"/>
      <c r="AF3" s="1021" t="s">
        <v>162</v>
      </c>
      <c r="AG3" s="1022"/>
      <c r="AH3" s="1021" t="s">
        <v>163</v>
      </c>
      <c r="AI3" s="1061"/>
      <c r="AJ3" s="1021" t="s">
        <v>164</v>
      </c>
      <c r="AK3" s="1061"/>
      <c r="AL3" s="1021" t="s">
        <v>165</v>
      </c>
      <c r="AM3" s="1022"/>
      <c r="AN3" s="1061" t="s">
        <v>166</v>
      </c>
      <c r="AO3" s="1061"/>
      <c r="AP3" s="1021" t="s">
        <v>167</v>
      </c>
      <c r="AQ3" s="1022"/>
      <c r="AR3" s="1021" t="s">
        <v>168</v>
      </c>
      <c r="AS3" s="1061"/>
      <c r="AT3" s="1021" t="s">
        <v>169</v>
      </c>
      <c r="AU3" s="1022"/>
      <c r="AV3" s="1021" t="s">
        <v>1</v>
      </c>
      <c r="AW3" s="1022"/>
      <c r="AX3" s="1061" t="s">
        <v>170</v>
      </c>
      <c r="AY3" s="1061"/>
      <c r="AZ3" s="1021" t="s">
        <v>2</v>
      </c>
      <c r="BA3" s="1022"/>
    </row>
    <row r="4" spans="1:53" s="348" customFormat="1" ht="14.25" thickBot="1" x14ac:dyDescent="0.3">
      <c r="A4" s="1060"/>
      <c r="B4" s="331" t="s">
        <v>370</v>
      </c>
      <c r="C4" s="331" t="s">
        <v>353</v>
      </c>
      <c r="D4" s="331" t="s">
        <v>370</v>
      </c>
      <c r="E4" s="331" t="s">
        <v>353</v>
      </c>
      <c r="F4" s="331" t="s">
        <v>370</v>
      </c>
      <c r="G4" s="331" t="s">
        <v>353</v>
      </c>
      <c r="H4" s="331" t="s">
        <v>370</v>
      </c>
      <c r="I4" s="331" t="s">
        <v>353</v>
      </c>
      <c r="J4" s="331" t="s">
        <v>370</v>
      </c>
      <c r="K4" s="331" t="s">
        <v>353</v>
      </c>
      <c r="L4" s="331" t="s">
        <v>370</v>
      </c>
      <c r="M4" s="331" t="s">
        <v>353</v>
      </c>
      <c r="N4" s="331" t="s">
        <v>370</v>
      </c>
      <c r="O4" s="331" t="s">
        <v>353</v>
      </c>
      <c r="P4" s="331" t="s">
        <v>370</v>
      </c>
      <c r="Q4" s="331" t="s">
        <v>353</v>
      </c>
      <c r="R4" s="331" t="s">
        <v>370</v>
      </c>
      <c r="S4" s="331" t="s">
        <v>353</v>
      </c>
      <c r="T4" s="331" t="s">
        <v>370</v>
      </c>
      <c r="U4" s="331" t="s">
        <v>353</v>
      </c>
      <c r="V4" s="331" t="s">
        <v>370</v>
      </c>
      <c r="W4" s="331" t="s">
        <v>353</v>
      </c>
      <c r="X4" s="331" t="s">
        <v>370</v>
      </c>
      <c r="Y4" s="331" t="s">
        <v>353</v>
      </c>
      <c r="Z4" s="331" t="s">
        <v>370</v>
      </c>
      <c r="AA4" s="331" t="s">
        <v>353</v>
      </c>
      <c r="AB4" s="331" t="s">
        <v>370</v>
      </c>
      <c r="AC4" s="331" t="s">
        <v>353</v>
      </c>
      <c r="AD4" s="331" t="s">
        <v>370</v>
      </c>
      <c r="AE4" s="331" t="s">
        <v>353</v>
      </c>
      <c r="AF4" s="331" t="s">
        <v>370</v>
      </c>
      <c r="AG4" s="331" t="s">
        <v>353</v>
      </c>
      <c r="AH4" s="331" t="s">
        <v>370</v>
      </c>
      <c r="AI4" s="331" t="s">
        <v>353</v>
      </c>
      <c r="AJ4" s="331" t="s">
        <v>370</v>
      </c>
      <c r="AK4" s="331" t="s">
        <v>353</v>
      </c>
      <c r="AL4" s="331" t="s">
        <v>370</v>
      </c>
      <c r="AM4" s="331" t="s">
        <v>353</v>
      </c>
      <c r="AN4" s="331" t="s">
        <v>370</v>
      </c>
      <c r="AO4" s="331" t="s">
        <v>353</v>
      </c>
      <c r="AP4" s="331" t="s">
        <v>370</v>
      </c>
      <c r="AQ4" s="331" t="s">
        <v>353</v>
      </c>
      <c r="AR4" s="331" t="s">
        <v>370</v>
      </c>
      <c r="AS4" s="331" t="s">
        <v>353</v>
      </c>
      <c r="AT4" s="331" t="s">
        <v>370</v>
      </c>
      <c r="AU4" s="331" t="s">
        <v>353</v>
      </c>
      <c r="AV4" s="331" t="s">
        <v>370</v>
      </c>
      <c r="AW4" s="331" t="s">
        <v>353</v>
      </c>
      <c r="AX4" s="331" t="s">
        <v>370</v>
      </c>
      <c r="AY4" s="331" t="s">
        <v>353</v>
      </c>
      <c r="AZ4" s="331" t="s">
        <v>370</v>
      </c>
      <c r="BA4" s="331" t="s">
        <v>353</v>
      </c>
    </row>
    <row r="5" spans="1:53" s="82" customFormat="1" ht="14.25" x14ac:dyDescent="0.25">
      <c r="A5" s="250" t="s">
        <v>59</v>
      </c>
      <c r="B5" s="137"/>
      <c r="C5" s="133"/>
      <c r="D5" s="137"/>
      <c r="E5" s="133"/>
      <c r="F5" s="134"/>
      <c r="G5" s="133"/>
      <c r="H5" s="134"/>
      <c r="I5" s="133"/>
      <c r="J5" s="137"/>
      <c r="K5" s="133"/>
      <c r="L5" s="135"/>
      <c r="M5" s="135"/>
      <c r="N5" s="135"/>
      <c r="O5" s="138"/>
      <c r="P5" s="137"/>
      <c r="Q5" s="133"/>
      <c r="R5" s="137"/>
      <c r="S5" s="133"/>
      <c r="T5" s="137"/>
      <c r="U5" s="133"/>
      <c r="V5" s="137"/>
      <c r="W5" s="133"/>
      <c r="X5" s="135"/>
      <c r="Y5" s="138"/>
      <c r="Z5" s="137"/>
      <c r="AA5" s="133"/>
      <c r="AB5" s="137"/>
      <c r="AC5" s="133"/>
      <c r="AD5" s="134"/>
      <c r="AE5" s="138"/>
      <c r="AF5" s="137"/>
      <c r="AG5" s="133"/>
      <c r="AH5" s="137"/>
      <c r="AI5" s="138"/>
      <c r="AJ5" s="137"/>
      <c r="AK5" s="138"/>
      <c r="AL5" s="137"/>
      <c r="AM5" s="133"/>
      <c r="AN5" s="134"/>
      <c r="AO5" s="138"/>
      <c r="AP5" s="137"/>
      <c r="AQ5" s="133"/>
      <c r="AR5" s="135"/>
      <c r="AS5" s="138"/>
      <c r="AT5" s="137"/>
      <c r="AU5" s="133"/>
      <c r="AV5" s="137"/>
      <c r="AW5" s="133"/>
      <c r="AX5" s="134"/>
      <c r="AY5" s="138"/>
      <c r="AZ5" s="137"/>
      <c r="BA5" s="140"/>
    </row>
    <row r="6" spans="1:53" s="82" customFormat="1" ht="14.25" x14ac:dyDescent="0.3">
      <c r="A6" s="142" t="s">
        <v>60</v>
      </c>
      <c r="B6" s="253">
        <v>17551</v>
      </c>
      <c r="C6" s="80">
        <v>14666</v>
      </c>
      <c r="D6" s="71">
        <v>6</v>
      </c>
      <c r="E6" s="73">
        <v>112</v>
      </c>
      <c r="F6" s="98">
        <v>970</v>
      </c>
      <c r="G6" s="73">
        <v>895</v>
      </c>
      <c r="H6" s="98">
        <v>31870</v>
      </c>
      <c r="I6" s="73">
        <v>19392</v>
      </c>
      <c r="J6" s="71">
        <v>5187</v>
      </c>
      <c r="K6" s="73">
        <v>3792</v>
      </c>
      <c r="L6" s="72">
        <v>11295</v>
      </c>
      <c r="M6" s="72">
        <v>8063</v>
      </c>
      <c r="N6" s="72">
        <v>1096</v>
      </c>
      <c r="O6" s="81">
        <v>634</v>
      </c>
      <c r="P6" s="71">
        <v>3442</v>
      </c>
      <c r="Q6" s="73">
        <v>2931</v>
      </c>
      <c r="R6" s="71"/>
      <c r="S6" s="73">
        <v>4112</v>
      </c>
      <c r="T6" s="71">
        <v>1571</v>
      </c>
      <c r="U6" s="73">
        <v>743</v>
      </c>
      <c r="V6" s="71">
        <v>61245</v>
      </c>
      <c r="W6" s="73">
        <v>58261</v>
      </c>
      <c r="X6" s="82">
        <v>41576</v>
      </c>
      <c r="Y6" s="81">
        <v>42310</v>
      </c>
      <c r="Z6" s="780">
        <v>2822</v>
      </c>
      <c r="AA6" s="85">
        <v>1983</v>
      </c>
      <c r="AB6" s="71">
        <v>9294</v>
      </c>
      <c r="AC6" s="73">
        <v>7165</v>
      </c>
      <c r="AD6" s="98">
        <v>13675</v>
      </c>
      <c r="AE6" s="81">
        <v>8308</v>
      </c>
      <c r="AF6" s="71">
        <v>38351</v>
      </c>
      <c r="AG6" s="73">
        <v>37004</v>
      </c>
      <c r="AH6" s="71">
        <v>12736</v>
      </c>
      <c r="AI6" s="81">
        <v>9228</v>
      </c>
      <c r="AJ6" s="71">
        <v>3846</v>
      </c>
      <c r="AK6" s="81">
        <v>2985</v>
      </c>
      <c r="AL6" s="71"/>
      <c r="AM6" s="73"/>
      <c r="AN6" s="800">
        <v>76637</v>
      </c>
      <c r="AO6" s="142">
        <v>40336</v>
      </c>
      <c r="AP6" s="71">
        <v>4032.46</v>
      </c>
      <c r="AQ6" s="73">
        <v>3698</v>
      </c>
      <c r="AR6" s="87">
        <v>8484</v>
      </c>
      <c r="AS6" s="788">
        <v>5120</v>
      </c>
      <c r="AT6" s="71">
        <v>53492</v>
      </c>
      <c r="AU6" s="73">
        <v>36370</v>
      </c>
      <c r="AV6" s="89">
        <f>SUM(B6+D6+F6+H6+J6+L6+N6+P6+R6+T6+V6+X6+Z6+AB6+AD6+AF6+AH6+AJ6+AL6+AN6+AP6+AR6+AT6)</f>
        <v>399178.46</v>
      </c>
      <c r="AW6" s="101">
        <f>SUM(C6+E6+G6+I6+K6+M6+O6+Q6+S6+U6+W6+Y6+AA6+AC6+AE6+AG6+AI6+AK6+AM6+AO6+AQ6+AS6+AU6)</f>
        <v>308108</v>
      </c>
      <c r="AX6" s="254">
        <v>448069</v>
      </c>
      <c r="AY6" s="788">
        <v>379428.29</v>
      </c>
      <c r="AZ6" s="89">
        <f t="shared" ref="AZ6:AZ25" si="0">AV6+AX6</f>
        <v>847247.46</v>
      </c>
      <c r="BA6" s="90">
        <f t="shared" ref="BA6:BA25" si="1">AW6+AY6</f>
        <v>687536.29</v>
      </c>
    </row>
    <row r="7" spans="1:53" s="82" customFormat="1" ht="14.25" x14ac:dyDescent="0.3">
      <c r="A7" s="142" t="s">
        <v>61</v>
      </c>
      <c r="B7" s="253">
        <v>8486</v>
      </c>
      <c r="C7" s="80">
        <v>7934</v>
      </c>
      <c r="D7" s="71">
        <v>46</v>
      </c>
      <c r="E7" s="73">
        <v>77</v>
      </c>
      <c r="F7" s="98">
        <v>252</v>
      </c>
      <c r="G7" s="73">
        <v>367</v>
      </c>
      <c r="H7" s="98">
        <v>6004</v>
      </c>
      <c r="I7" s="73">
        <v>4745</v>
      </c>
      <c r="J7" s="71">
        <v>1810</v>
      </c>
      <c r="K7" s="73">
        <v>2316</v>
      </c>
      <c r="L7" s="72">
        <v>4132</v>
      </c>
      <c r="M7" s="72">
        <v>3596</v>
      </c>
      <c r="N7" s="72">
        <v>500</v>
      </c>
      <c r="O7" s="81">
        <v>480</v>
      </c>
      <c r="P7" s="71">
        <v>952</v>
      </c>
      <c r="Q7" s="73">
        <v>880</v>
      </c>
      <c r="R7" s="71"/>
      <c r="S7" s="73">
        <v>2557</v>
      </c>
      <c r="T7" s="71">
        <v>516</v>
      </c>
      <c r="U7" s="73">
        <v>505</v>
      </c>
      <c r="V7" s="71">
        <v>16122</v>
      </c>
      <c r="W7" s="73">
        <v>13475</v>
      </c>
      <c r="X7" s="82">
        <v>17890</v>
      </c>
      <c r="Y7" s="81">
        <v>17557</v>
      </c>
      <c r="Z7" s="780">
        <v>658</v>
      </c>
      <c r="AA7" s="85">
        <v>822</v>
      </c>
      <c r="AB7" s="71">
        <v>2465</v>
      </c>
      <c r="AC7" s="73">
        <v>1783</v>
      </c>
      <c r="AD7" s="98">
        <v>7266</v>
      </c>
      <c r="AE7" s="81">
        <v>6962</v>
      </c>
      <c r="AF7" s="71">
        <v>15278</v>
      </c>
      <c r="AG7" s="73">
        <v>13522</v>
      </c>
      <c r="AH7" s="71">
        <v>5750</v>
      </c>
      <c r="AI7" s="81">
        <v>5349</v>
      </c>
      <c r="AJ7" s="71">
        <v>2991</v>
      </c>
      <c r="AK7" s="81">
        <v>2898</v>
      </c>
      <c r="AL7" s="71"/>
      <c r="AM7" s="73"/>
      <c r="AN7" s="800">
        <v>36241</v>
      </c>
      <c r="AO7" s="142">
        <v>32743</v>
      </c>
      <c r="AP7" s="71">
        <v>1505.37</v>
      </c>
      <c r="AQ7" s="73">
        <v>1466</v>
      </c>
      <c r="AR7" s="87">
        <v>3224</v>
      </c>
      <c r="AS7" s="788">
        <v>4414</v>
      </c>
      <c r="AT7" s="71">
        <v>10973</v>
      </c>
      <c r="AU7" s="73">
        <v>8308</v>
      </c>
      <c r="AV7" s="89">
        <f t="shared" ref="AV7:AV25" si="2">SUM(B7+D7+F7+H7+J7+L7+N7+P7+R7+T7+V7+X7+Z7+AB7+AD7+AF7+AH7+AJ7+AL7+AN7+AP7+AR7+AT7)</f>
        <v>143061.37</v>
      </c>
      <c r="AW7" s="101">
        <f t="shared" ref="AW7:AW25" si="3">SUM(C7+E7+G7+I7+K7+M7+O7+Q7+S7+U7+W7+Y7+AA7+AC7+AE7+AG7+AI7+AK7+AM7+AO7+AQ7+AS7+AU7)</f>
        <v>132756</v>
      </c>
      <c r="AX7" s="254">
        <v>546179.57999999996</v>
      </c>
      <c r="AY7" s="788">
        <v>517410.26</v>
      </c>
      <c r="AZ7" s="89">
        <f t="shared" si="0"/>
        <v>689240.95</v>
      </c>
      <c r="BA7" s="90">
        <f t="shared" si="1"/>
        <v>650166.26</v>
      </c>
    </row>
    <row r="8" spans="1:53" s="82" customFormat="1" ht="14.25" x14ac:dyDescent="0.3">
      <c r="A8" s="142" t="s">
        <v>62</v>
      </c>
      <c r="B8" s="253">
        <v>1380</v>
      </c>
      <c r="C8" s="80">
        <v>534</v>
      </c>
      <c r="D8" s="71">
        <v>4</v>
      </c>
      <c r="E8" s="73"/>
      <c r="F8" s="98"/>
      <c r="G8" s="73">
        <v>15</v>
      </c>
      <c r="H8" s="98">
        <v>3410</v>
      </c>
      <c r="I8" s="73">
        <v>2980</v>
      </c>
      <c r="J8" s="71">
        <v>115</v>
      </c>
      <c r="K8" s="73">
        <v>72</v>
      </c>
      <c r="L8" s="72">
        <v>777</v>
      </c>
      <c r="M8" s="72">
        <v>738</v>
      </c>
      <c r="N8" s="72">
        <v>747</v>
      </c>
      <c r="O8" s="81">
        <v>287</v>
      </c>
      <c r="P8" s="71">
        <v>35</v>
      </c>
      <c r="Q8" s="73">
        <v>38</v>
      </c>
      <c r="R8" s="71"/>
      <c r="S8" s="73">
        <v>88</v>
      </c>
      <c r="T8" s="71">
        <v>39</v>
      </c>
      <c r="U8" s="73">
        <v>65</v>
      </c>
      <c r="V8" s="71">
        <v>12163</v>
      </c>
      <c r="W8" s="73">
        <v>7670</v>
      </c>
      <c r="X8" s="82">
        <v>7535</v>
      </c>
      <c r="Y8" s="81">
        <v>6019</v>
      </c>
      <c r="Z8" s="780">
        <v>625</v>
      </c>
      <c r="AA8" s="85">
        <v>428</v>
      </c>
      <c r="AB8" s="71">
        <v>1256</v>
      </c>
      <c r="AC8" s="73">
        <v>703</v>
      </c>
      <c r="AD8" s="98">
        <v>4900</v>
      </c>
      <c r="AE8" s="81">
        <v>2286</v>
      </c>
      <c r="AF8" s="71">
        <v>2302</v>
      </c>
      <c r="AG8" s="73">
        <v>1897</v>
      </c>
      <c r="AH8" s="71">
        <v>1162</v>
      </c>
      <c r="AI8" s="81">
        <v>792</v>
      </c>
      <c r="AJ8" s="71">
        <v>12</v>
      </c>
      <c r="AK8" s="81">
        <v>15</v>
      </c>
      <c r="AL8" s="71"/>
      <c r="AM8" s="73"/>
      <c r="AN8" s="800">
        <v>9057</v>
      </c>
      <c r="AO8" s="142">
        <v>6084</v>
      </c>
      <c r="AP8" s="71">
        <v>375.44</v>
      </c>
      <c r="AQ8" s="73">
        <v>213</v>
      </c>
      <c r="AR8" s="87">
        <v>847</v>
      </c>
      <c r="AS8" s="788">
        <v>562</v>
      </c>
      <c r="AT8" s="71">
        <v>697</v>
      </c>
      <c r="AU8" s="73">
        <v>377</v>
      </c>
      <c r="AV8" s="89">
        <f t="shared" si="2"/>
        <v>47438.44</v>
      </c>
      <c r="AW8" s="101">
        <f t="shared" si="3"/>
        <v>31863</v>
      </c>
      <c r="AX8" s="254">
        <v>20537.59</v>
      </c>
      <c r="AY8" s="788">
        <v>18939.34</v>
      </c>
      <c r="AZ8" s="89">
        <f t="shared" si="0"/>
        <v>67976.03</v>
      </c>
      <c r="BA8" s="90">
        <f t="shared" si="1"/>
        <v>50802.34</v>
      </c>
    </row>
    <row r="9" spans="1:53" s="351" customFormat="1" ht="14.25" x14ac:dyDescent="0.3">
      <c r="A9" s="143" t="s">
        <v>54</v>
      </c>
      <c r="B9" s="63">
        <f t="shared" ref="B9:G9" si="4">SUM(B6:B8)</f>
        <v>27417</v>
      </c>
      <c r="C9" s="353">
        <f t="shared" si="4"/>
        <v>23134</v>
      </c>
      <c r="D9" s="89">
        <f t="shared" si="4"/>
        <v>56</v>
      </c>
      <c r="E9" s="93">
        <f t="shared" si="4"/>
        <v>189</v>
      </c>
      <c r="F9" s="99">
        <f t="shared" si="4"/>
        <v>1222</v>
      </c>
      <c r="G9" s="93">
        <f t="shared" si="4"/>
        <v>1277</v>
      </c>
      <c r="H9" s="99">
        <f t="shared" ref="H9:O9" si="5">SUM(H6:H8)</f>
        <v>41284</v>
      </c>
      <c r="I9" s="101">
        <f t="shared" si="5"/>
        <v>27117</v>
      </c>
      <c r="J9" s="89">
        <f t="shared" si="5"/>
        <v>7112</v>
      </c>
      <c r="K9" s="101">
        <f t="shared" si="5"/>
        <v>6180</v>
      </c>
      <c r="L9" s="99">
        <f t="shared" si="5"/>
        <v>16204</v>
      </c>
      <c r="M9" s="99">
        <f t="shared" si="5"/>
        <v>12397</v>
      </c>
      <c r="N9" s="99">
        <f t="shared" si="5"/>
        <v>2343</v>
      </c>
      <c r="O9" s="99">
        <f t="shared" si="5"/>
        <v>1401</v>
      </c>
      <c r="P9" s="89">
        <f>SUM(P6:P8)</f>
        <v>4429</v>
      </c>
      <c r="Q9" s="93">
        <f>SUM(Q6:Q8)</f>
        <v>3849</v>
      </c>
      <c r="R9" s="89">
        <f>SUM(R6:R8)</f>
        <v>0</v>
      </c>
      <c r="S9" s="93">
        <f>SUM(S6:S8)</f>
        <v>6757</v>
      </c>
      <c r="T9" s="89">
        <f t="shared" ref="T9:AA9" si="6">SUM(T6:T8)</f>
        <v>2126</v>
      </c>
      <c r="U9" s="93">
        <f t="shared" si="6"/>
        <v>1313</v>
      </c>
      <c r="V9" s="89">
        <f t="shared" si="6"/>
        <v>89530</v>
      </c>
      <c r="W9" s="93">
        <f t="shared" si="6"/>
        <v>79406</v>
      </c>
      <c r="X9" s="99">
        <f t="shared" si="6"/>
        <v>67001</v>
      </c>
      <c r="Y9" s="100">
        <f t="shared" si="6"/>
        <v>65886</v>
      </c>
      <c r="Z9" s="89">
        <f t="shared" si="6"/>
        <v>4105</v>
      </c>
      <c r="AA9" s="89">
        <f t="shared" si="6"/>
        <v>3233</v>
      </c>
      <c r="AB9" s="89">
        <f t="shared" ref="AB9:AH9" si="7">SUM(AB6:AB8)</f>
        <v>13015</v>
      </c>
      <c r="AC9" s="93">
        <f t="shared" si="7"/>
        <v>9651</v>
      </c>
      <c r="AD9" s="99">
        <f t="shared" si="7"/>
        <v>25841</v>
      </c>
      <c r="AE9" s="94">
        <f t="shared" si="7"/>
        <v>17556</v>
      </c>
      <c r="AF9" s="89">
        <f t="shared" si="7"/>
        <v>55931</v>
      </c>
      <c r="AG9" s="101">
        <f t="shared" si="7"/>
        <v>52423</v>
      </c>
      <c r="AH9" s="89">
        <f t="shared" si="7"/>
        <v>19648</v>
      </c>
      <c r="AI9" s="94">
        <f>SUM(AI6:AI8)</f>
        <v>15369</v>
      </c>
      <c r="AJ9" s="89">
        <f>SUM(AJ6:AJ8)</f>
        <v>6849</v>
      </c>
      <c r="AK9" s="100">
        <f>SUM(AK6:AK8)</f>
        <v>5898</v>
      </c>
      <c r="AL9" s="89">
        <f>SUM(AL6:AL8)</f>
        <v>0</v>
      </c>
      <c r="AM9" s="93"/>
      <c r="AN9" s="99">
        <f t="shared" ref="AN9:AU9" si="8">SUM(AN6:AN8)</f>
        <v>121935</v>
      </c>
      <c r="AO9" s="100">
        <f t="shared" si="8"/>
        <v>79163</v>
      </c>
      <c r="AP9" s="89">
        <f t="shared" si="8"/>
        <v>5913.2699999999995</v>
      </c>
      <c r="AQ9" s="101">
        <f t="shared" si="8"/>
        <v>5377</v>
      </c>
      <c r="AR9" s="147">
        <f t="shared" si="8"/>
        <v>12555</v>
      </c>
      <c r="AS9" s="805">
        <f t="shared" si="8"/>
        <v>10096</v>
      </c>
      <c r="AT9" s="350">
        <f t="shared" si="8"/>
        <v>65162</v>
      </c>
      <c r="AU9" s="795">
        <f t="shared" si="8"/>
        <v>45055</v>
      </c>
      <c r="AV9" s="89">
        <f t="shared" si="2"/>
        <v>589678.27</v>
      </c>
      <c r="AW9" s="101">
        <f t="shared" si="3"/>
        <v>472727</v>
      </c>
      <c r="AX9" s="797">
        <f>SUM(AX6:AX8)</f>
        <v>1014786.1699999999</v>
      </c>
      <c r="AY9" s="803">
        <f>SUM(AY6:AY8)</f>
        <v>915777.89</v>
      </c>
      <c r="AZ9" s="89">
        <f t="shared" si="0"/>
        <v>1604464.44</v>
      </c>
      <c r="BA9" s="90">
        <f t="shared" si="1"/>
        <v>1388504.8900000001</v>
      </c>
    </row>
    <row r="10" spans="1:53" s="82" customFormat="1" ht="14.25" x14ac:dyDescent="0.3">
      <c r="A10" s="142" t="s">
        <v>63</v>
      </c>
      <c r="B10" s="63"/>
      <c r="C10" s="80"/>
      <c r="D10" s="89"/>
      <c r="E10" s="73"/>
      <c r="F10" s="99"/>
      <c r="G10" s="73"/>
      <c r="H10" s="99"/>
      <c r="I10" s="73"/>
      <c r="J10" s="89"/>
      <c r="K10" s="73"/>
      <c r="L10" s="92"/>
      <c r="M10" s="72"/>
      <c r="N10" s="92"/>
      <c r="O10" s="81"/>
      <c r="P10" s="89"/>
      <c r="Q10" s="73"/>
      <c r="R10" s="89"/>
      <c r="S10" s="73"/>
      <c r="T10" s="89"/>
      <c r="U10" s="73"/>
      <c r="V10" s="89"/>
      <c r="W10" s="73"/>
      <c r="X10" s="92"/>
      <c r="Y10" s="81"/>
      <c r="Z10" s="780"/>
      <c r="AA10" s="85"/>
      <c r="AB10" s="89"/>
      <c r="AC10" s="73"/>
      <c r="AD10" s="352"/>
      <c r="AE10" s="81"/>
      <c r="AF10" s="89"/>
      <c r="AG10" s="73"/>
      <c r="AH10" s="89"/>
      <c r="AI10" s="81"/>
      <c r="AJ10" s="89"/>
      <c r="AK10" s="81"/>
      <c r="AL10" s="71"/>
      <c r="AM10" s="73"/>
      <c r="AN10" s="98"/>
      <c r="AO10" s="142"/>
      <c r="AP10" s="71"/>
      <c r="AQ10" s="73"/>
      <c r="AR10" s="87"/>
      <c r="AS10" s="788"/>
      <c r="AT10" s="89"/>
      <c r="AU10" s="73"/>
      <c r="AV10" s="89">
        <f t="shared" si="2"/>
        <v>0</v>
      </c>
      <c r="AW10" s="101">
        <f t="shared" si="3"/>
        <v>0</v>
      </c>
      <c r="AX10" s="99"/>
      <c r="AY10" s="788"/>
      <c r="AZ10" s="89">
        <f t="shared" si="0"/>
        <v>0</v>
      </c>
      <c r="BA10" s="90">
        <f t="shared" si="1"/>
        <v>0</v>
      </c>
    </row>
    <row r="11" spans="1:53" s="82" customFormat="1" ht="14.25" x14ac:dyDescent="0.3">
      <c r="A11" s="142" t="s">
        <v>64</v>
      </c>
      <c r="B11" s="253"/>
      <c r="C11" s="80"/>
      <c r="D11" s="71"/>
      <c r="E11" s="73"/>
      <c r="F11" s="98"/>
      <c r="G11" s="73"/>
      <c r="H11" s="98"/>
      <c r="I11" s="73">
        <v>-5</v>
      </c>
      <c r="J11" s="71"/>
      <c r="K11" s="73"/>
      <c r="L11" s="72"/>
      <c r="M11" s="72"/>
      <c r="N11" s="72"/>
      <c r="O11" s="81"/>
      <c r="P11" s="71"/>
      <c r="Q11" s="73"/>
      <c r="R11" s="71"/>
      <c r="S11" s="73"/>
      <c r="T11" s="71"/>
      <c r="U11" s="73"/>
      <c r="V11" s="71"/>
      <c r="W11" s="73"/>
      <c r="X11" s="72"/>
      <c r="Y11" s="81"/>
      <c r="Z11" s="71"/>
      <c r="AA11" s="85"/>
      <c r="AB11" s="71"/>
      <c r="AC11" s="73"/>
      <c r="AD11" s="98"/>
      <c r="AE11" s="81"/>
      <c r="AF11" s="71"/>
      <c r="AG11" s="73"/>
      <c r="AH11" s="71"/>
      <c r="AI11" s="81"/>
      <c r="AJ11" s="71"/>
      <c r="AK11" s="81"/>
      <c r="AL11" s="71"/>
      <c r="AM11" s="73"/>
      <c r="AN11" s="98"/>
      <c r="AO11" s="142"/>
      <c r="AP11" s="71"/>
      <c r="AQ11" s="73"/>
      <c r="AR11" s="87"/>
      <c r="AS11" s="788"/>
      <c r="AT11" s="71">
        <v>12</v>
      </c>
      <c r="AU11" s="73">
        <v>14</v>
      </c>
      <c r="AV11" s="89">
        <f t="shared" si="2"/>
        <v>12</v>
      </c>
      <c r="AW11" s="101">
        <f t="shared" si="3"/>
        <v>9</v>
      </c>
      <c r="AX11" s="254"/>
      <c r="AY11" s="788"/>
      <c r="AZ11" s="89">
        <f t="shared" si="0"/>
        <v>12</v>
      </c>
      <c r="BA11" s="90">
        <f t="shared" si="1"/>
        <v>9</v>
      </c>
    </row>
    <row r="12" spans="1:53" s="351" customFormat="1" ht="14.25" x14ac:dyDescent="0.3">
      <c r="A12" s="143" t="s">
        <v>65</v>
      </c>
      <c r="B12" s="63">
        <f t="shared" ref="B12:G12" si="9">B9</f>
        <v>27417</v>
      </c>
      <c r="C12" s="353">
        <f t="shared" si="9"/>
        <v>23134</v>
      </c>
      <c r="D12" s="63">
        <f t="shared" si="9"/>
        <v>56</v>
      </c>
      <c r="E12" s="93">
        <f t="shared" si="9"/>
        <v>189</v>
      </c>
      <c r="F12" s="91">
        <f t="shared" si="9"/>
        <v>1222</v>
      </c>
      <c r="G12" s="93">
        <f t="shared" si="9"/>
        <v>1277</v>
      </c>
      <c r="H12" s="91">
        <f>H9+H11</f>
        <v>41284</v>
      </c>
      <c r="I12" s="93">
        <f>I9+I11</f>
        <v>27112</v>
      </c>
      <c r="J12" s="63">
        <f t="shared" ref="J12:O12" si="10">J9</f>
        <v>7112</v>
      </c>
      <c r="K12" s="353">
        <f t="shared" si="10"/>
        <v>6180</v>
      </c>
      <c r="L12" s="63">
        <f t="shared" si="10"/>
        <v>16204</v>
      </c>
      <c r="M12" s="92">
        <f t="shared" si="10"/>
        <v>12397</v>
      </c>
      <c r="N12" s="63">
        <f t="shared" si="10"/>
        <v>2343</v>
      </c>
      <c r="O12" s="63">
        <f t="shared" si="10"/>
        <v>1401</v>
      </c>
      <c r="P12" s="63">
        <f t="shared" ref="P12:W12" si="11">P9</f>
        <v>4429</v>
      </c>
      <c r="Q12" s="93">
        <f t="shared" si="11"/>
        <v>3849</v>
      </c>
      <c r="R12" s="63">
        <f t="shared" si="11"/>
        <v>0</v>
      </c>
      <c r="S12" s="93">
        <f t="shared" si="11"/>
        <v>6757</v>
      </c>
      <c r="T12" s="63">
        <f t="shared" si="11"/>
        <v>2126</v>
      </c>
      <c r="U12" s="93">
        <f t="shared" si="11"/>
        <v>1313</v>
      </c>
      <c r="V12" s="63">
        <f t="shared" si="11"/>
        <v>89530</v>
      </c>
      <c r="W12" s="63">
        <f t="shared" si="11"/>
        <v>79406</v>
      </c>
      <c r="X12" s="63">
        <f t="shared" ref="X12:AE12" si="12">X9</f>
        <v>67001</v>
      </c>
      <c r="Y12" s="63">
        <f t="shared" si="12"/>
        <v>65886</v>
      </c>
      <c r="Z12" s="63">
        <f t="shared" si="12"/>
        <v>4105</v>
      </c>
      <c r="AA12" s="63">
        <f t="shared" si="12"/>
        <v>3233</v>
      </c>
      <c r="AB12" s="63">
        <f t="shared" si="12"/>
        <v>13015</v>
      </c>
      <c r="AC12" s="63">
        <f t="shared" si="12"/>
        <v>9651</v>
      </c>
      <c r="AD12" s="91">
        <f t="shared" si="12"/>
        <v>25841</v>
      </c>
      <c r="AE12" s="91">
        <f t="shared" si="12"/>
        <v>17556</v>
      </c>
      <c r="AF12" s="89">
        <f t="shared" ref="AF12:AK12" si="13">AF9</f>
        <v>55931</v>
      </c>
      <c r="AG12" s="90">
        <f t="shared" si="13"/>
        <v>52423</v>
      </c>
      <c r="AH12" s="89">
        <f t="shared" si="13"/>
        <v>19648</v>
      </c>
      <c r="AI12" s="94">
        <f t="shared" si="13"/>
        <v>15369</v>
      </c>
      <c r="AJ12" s="89">
        <f t="shared" si="13"/>
        <v>6849</v>
      </c>
      <c r="AK12" s="799">
        <f t="shared" si="13"/>
        <v>5898</v>
      </c>
      <c r="AL12" s="89"/>
      <c r="AM12" s="93"/>
      <c r="AN12" s="801">
        <f>AN9</f>
        <v>121935</v>
      </c>
      <c r="AO12" s="143">
        <f>AO9</f>
        <v>79163</v>
      </c>
      <c r="AP12" s="350">
        <f>AP9</f>
        <v>5913.2699999999995</v>
      </c>
      <c r="AQ12" s="795">
        <f>AQ9</f>
        <v>5377</v>
      </c>
      <c r="AR12" s="350">
        <f>AR9</f>
        <v>12555</v>
      </c>
      <c r="AS12" s="805">
        <v>10096</v>
      </c>
      <c r="AT12" s="350">
        <v>65150</v>
      </c>
      <c r="AU12" s="806">
        <f>AU9-AU11</f>
        <v>45041</v>
      </c>
      <c r="AV12" s="89">
        <f t="shared" si="2"/>
        <v>589666.27</v>
      </c>
      <c r="AW12" s="101">
        <f t="shared" si="3"/>
        <v>472708</v>
      </c>
      <c r="AX12" s="797">
        <f>AX9</f>
        <v>1014786.1699999999</v>
      </c>
      <c r="AY12" s="803">
        <f>AY9</f>
        <v>915777.89</v>
      </c>
      <c r="AZ12" s="89">
        <f t="shared" si="0"/>
        <v>1604452.44</v>
      </c>
      <c r="BA12" s="90">
        <f t="shared" si="1"/>
        <v>1388485.8900000001</v>
      </c>
    </row>
    <row r="13" spans="1:53" s="351" customFormat="1" ht="14.25" x14ac:dyDescent="0.3">
      <c r="A13" s="143" t="s">
        <v>254</v>
      </c>
      <c r="B13" s="63">
        <v>1323</v>
      </c>
      <c r="C13" s="807">
        <v>1193</v>
      </c>
      <c r="D13" s="807"/>
      <c r="E13" s="93"/>
      <c r="F13" s="91">
        <v>27</v>
      </c>
      <c r="G13" s="93">
        <v>47</v>
      </c>
      <c r="H13" s="91">
        <v>2591</v>
      </c>
      <c r="I13" s="93">
        <v>1725</v>
      </c>
      <c r="J13" s="63">
        <v>245</v>
      </c>
      <c r="K13" s="807">
        <v>828</v>
      </c>
      <c r="L13" s="91"/>
      <c r="M13" s="92"/>
      <c r="N13" s="91">
        <v>101</v>
      </c>
      <c r="O13" s="94">
        <v>26</v>
      </c>
      <c r="P13" s="63">
        <v>290</v>
      </c>
      <c r="Q13" s="93">
        <v>221</v>
      </c>
      <c r="R13" s="63"/>
      <c r="S13" s="93">
        <v>807</v>
      </c>
      <c r="T13" s="63">
        <v>11</v>
      </c>
      <c r="U13" s="93">
        <v>4</v>
      </c>
      <c r="V13" s="63">
        <v>1063</v>
      </c>
      <c r="W13" s="93">
        <v>1809</v>
      </c>
      <c r="X13" s="91">
        <v>4898</v>
      </c>
      <c r="Y13" s="94">
        <v>3677</v>
      </c>
      <c r="Z13" s="63">
        <v>38</v>
      </c>
      <c r="AA13" s="793">
        <v>30</v>
      </c>
      <c r="AB13" s="63"/>
      <c r="AC13" s="93"/>
      <c r="AD13" s="91">
        <v>736</v>
      </c>
      <c r="AE13" s="94">
        <v>593</v>
      </c>
      <c r="AF13" s="89">
        <v>2162</v>
      </c>
      <c r="AG13" s="101">
        <v>1452</v>
      </c>
      <c r="AH13" s="89">
        <v>609</v>
      </c>
      <c r="AI13" s="94">
        <v>278</v>
      </c>
      <c r="AJ13" s="89">
        <v>643</v>
      </c>
      <c r="AK13" s="100">
        <v>395</v>
      </c>
      <c r="AL13" s="89"/>
      <c r="AM13" s="93"/>
      <c r="AN13" s="801">
        <v>4352</v>
      </c>
      <c r="AO13" s="143">
        <v>2865</v>
      </c>
      <c r="AP13" s="350">
        <v>204.73</v>
      </c>
      <c r="AQ13" s="795">
        <v>160</v>
      </c>
      <c r="AR13" s="801"/>
      <c r="AS13" s="805"/>
      <c r="AT13" s="350">
        <v>4550</v>
      </c>
      <c r="AU13" s="808">
        <v>2861</v>
      </c>
      <c r="AV13" s="89"/>
      <c r="AW13" s="101"/>
      <c r="AX13" s="797">
        <v>68502</v>
      </c>
      <c r="AY13" s="809">
        <v>68689.81</v>
      </c>
      <c r="AZ13" s="89"/>
      <c r="BA13" s="90"/>
    </row>
    <row r="14" spans="1:53" s="351" customFormat="1" ht="14.25" x14ac:dyDescent="0.3">
      <c r="A14" s="143" t="s">
        <v>255</v>
      </c>
      <c r="B14" s="63">
        <f>B12+B13</f>
        <v>28740</v>
      </c>
      <c r="C14" s="63">
        <f>C12+C13</f>
        <v>24327</v>
      </c>
      <c r="D14" s="63">
        <f>D12+D13</f>
        <v>56</v>
      </c>
      <c r="E14" s="63">
        <f>E12+E13</f>
        <v>189</v>
      </c>
      <c r="F14" s="63">
        <f>F12+F13</f>
        <v>1249</v>
      </c>
      <c r="G14" s="63">
        <f t="shared" ref="G14:AU14" si="14">G12+G13</f>
        <v>1324</v>
      </c>
      <c r="H14" s="63">
        <f t="shared" si="14"/>
        <v>43875</v>
      </c>
      <c r="I14" s="63">
        <f t="shared" si="14"/>
        <v>28837</v>
      </c>
      <c r="J14" s="63">
        <f t="shared" si="14"/>
        <v>7357</v>
      </c>
      <c r="K14" s="63">
        <f t="shared" si="14"/>
        <v>7008</v>
      </c>
      <c r="L14" s="63">
        <f t="shared" si="14"/>
        <v>16204</v>
      </c>
      <c r="M14" s="63">
        <f t="shared" si="14"/>
        <v>12397</v>
      </c>
      <c r="N14" s="63">
        <f t="shared" si="14"/>
        <v>2444</v>
      </c>
      <c r="O14" s="63">
        <f t="shared" si="14"/>
        <v>1427</v>
      </c>
      <c r="P14" s="63">
        <f t="shared" si="14"/>
        <v>4719</v>
      </c>
      <c r="Q14" s="63">
        <f t="shared" si="14"/>
        <v>4070</v>
      </c>
      <c r="R14" s="63">
        <f t="shared" si="14"/>
        <v>0</v>
      </c>
      <c r="S14" s="63">
        <f t="shared" si="14"/>
        <v>7564</v>
      </c>
      <c r="T14" s="63">
        <f t="shared" si="14"/>
        <v>2137</v>
      </c>
      <c r="U14" s="63">
        <f t="shared" si="14"/>
        <v>1317</v>
      </c>
      <c r="V14" s="63">
        <f t="shared" si="14"/>
        <v>90593</v>
      </c>
      <c r="W14" s="63">
        <f t="shared" si="14"/>
        <v>81215</v>
      </c>
      <c r="X14" s="63">
        <f t="shared" si="14"/>
        <v>71899</v>
      </c>
      <c r="Y14" s="63">
        <f t="shared" si="14"/>
        <v>69563</v>
      </c>
      <c r="Z14" s="63">
        <f t="shared" si="14"/>
        <v>4143</v>
      </c>
      <c r="AA14" s="63">
        <f t="shared" si="14"/>
        <v>3263</v>
      </c>
      <c r="AB14" s="63">
        <f t="shared" si="14"/>
        <v>13015</v>
      </c>
      <c r="AC14" s="63">
        <f t="shared" si="14"/>
        <v>9651</v>
      </c>
      <c r="AD14" s="63">
        <f t="shared" si="14"/>
        <v>26577</v>
      </c>
      <c r="AE14" s="63">
        <f t="shared" si="14"/>
        <v>18149</v>
      </c>
      <c r="AF14" s="63">
        <f t="shared" si="14"/>
        <v>58093</v>
      </c>
      <c r="AG14" s="63">
        <f t="shared" si="14"/>
        <v>53875</v>
      </c>
      <c r="AH14" s="63">
        <f t="shared" si="14"/>
        <v>20257</v>
      </c>
      <c r="AI14" s="63">
        <f t="shared" si="14"/>
        <v>15647</v>
      </c>
      <c r="AJ14" s="63">
        <f t="shared" si="14"/>
        <v>7492</v>
      </c>
      <c r="AK14" s="63">
        <f t="shared" si="14"/>
        <v>6293</v>
      </c>
      <c r="AL14" s="63">
        <f t="shared" si="14"/>
        <v>0</v>
      </c>
      <c r="AM14" s="63">
        <f t="shared" si="14"/>
        <v>0</v>
      </c>
      <c r="AN14" s="63">
        <f t="shared" si="14"/>
        <v>126287</v>
      </c>
      <c r="AO14" s="63">
        <f t="shared" si="14"/>
        <v>82028</v>
      </c>
      <c r="AP14" s="63">
        <f t="shared" si="14"/>
        <v>6117.9999999999991</v>
      </c>
      <c r="AQ14" s="63">
        <f t="shared" si="14"/>
        <v>5537</v>
      </c>
      <c r="AR14" s="63">
        <f t="shared" si="14"/>
        <v>12555</v>
      </c>
      <c r="AS14" s="63">
        <f t="shared" si="14"/>
        <v>10096</v>
      </c>
      <c r="AT14" s="63">
        <f t="shared" si="14"/>
        <v>69700</v>
      </c>
      <c r="AU14" s="63">
        <f t="shared" si="14"/>
        <v>47902</v>
      </c>
      <c r="AV14" s="89"/>
      <c r="AW14" s="101"/>
      <c r="AX14" s="797">
        <v>1083288.72</v>
      </c>
      <c r="AY14" s="809">
        <v>984467.7</v>
      </c>
      <c r="AZ14" s="89"/>
      <c r="BA14" s="90"/>
    </row>
    <row r="15" spans="1:53" s="82" customFormat="1" ht="14.25" x14ac:dyDescent="0.3">
      <c r="A15" s="143" t="s">
        <v>66</v>
      </c>
      <c r="B15" s="253"/>
      <c r="C15" s="80"/>
      <c r="D15" s="71"/>
      <c r="E15" s="73"/>
      <c r="F15" s="98"/>
      <c r="G15" s="73"/>
      <c r="H15" s="98"/>
      <c r="I15" s="73"/>
      <c r="J15" s="71"/>
      <c r="K15" s="73"/>
      <c r="L15" s="72"/>
      <c r="M15" s="72"/>
      <c r="N15" s="72"/>
      <c r="O15" s="81"/>
      <c r="P15" s="71"/>
      <c r="Q15" s="73"/>
      <c r="R15" s="71"/>
      <c r="S15" s="73"/>
      <c r="T15" s="71"/>
      <c r="U15" s="73"/>
      <c r="V15" s="71"/>
      <c r="W15" s="73"/>
      <c r="X15" s="72"/>
      <c r="Y15" s="81"/>
      <c r="Z15" s="71"/>
      <c r="AA15" s="85"/>
      <c r="AB15" s="71"/>
      <c r="AC15" s="73"/>
      <c r="AD15" s="98"/>
      <c r="AE15" s="81"/>
      <c r="AF15" s="71"/>
      <c r="AG15" s="73"/>
      <c r="AH15" s="71"/>
      <c r="AI15" s="81"/>
      <c r="AJ15" s="71"/>
      <c r="AK15" s="81"/>
      <c r="AL15" s="71"/>
      <c r="AM15" s="73"/>
      <c r="AN15" s="98"/>
      <c r="AO15" s="142"/>
      <c r="AP15" s="71"/>
      <c r="AQ15" s="73"/>
      <c r="AR15" s="87"/>
      <c r="AS15" s="788"/>
      <c r="AT15" s="71"/>
      <c r="AU15" s="73"/>
      <c r="AV15" s="89">
        <f t="shared" si="2"/>
        <v>0</v>
      </c>
      <c r="AW15" s="101">
        <f t="shared" si="3"/>
        <v>0</v>
      </c>
      <c r="AX15" s="254"/>
      <c r="AY15" s="788"/>
      <c r="AZ15" s="89">
        <f t="shared" si="0"/>
        <v>0</v>
      </c>
      <c r="BA15" s="90">
        <f t="shared" si="1"/>
        <v>0</v>
      </c>
    </row>
    <row r="16" spans="1:53" s="82" customFormat="1" ht="14.25" x14ac:dyDescent="0.3">
      <c r="A16" s="143" t="s">
        <v>67</v>
      </c>
      <c r="B16" s="253"/>
      <c r="C16" s="80"/>
      <c r="D16" s="71"/>
      <c r="E16" s="73"/>
      <c r="F16" s="98"/>
      <c r="G16" s="73"/>
      <c r="H16" s="98"/>
      <c r="I16" s="73"/>
      <c r="J16" s="71"/>
      <c r="K16" s="73"/>
      <c r="L16" s="72"/>
      <c r="M16" s="72"/>
      <c r="N16" s="72"/>
      <c r="O16" s="81"/>
      <c r="P16" s="71"/>
      <c r="Q16" s="73"/>
      <c r="R16" s="71"/>
      <c r="S16" s="73"/>
      <c r="T16" s="71"/>
      <c r="U16" s="73"/>
      <c r="V16" s="71"/>
      <c r="W16" s="73"/>
      <c r="X16" s="72"/>
      <c r="Y16" s="81"/>
      <c r="Z16" s="71"/>
      <c r="AA16" s="85"/>
      <c r="AB16" s="71"/>
      <c r="AC16" s="73"/>
      <c r="AD16" s="98"/>
      <c r="AE16" s="81"/>
      <c r="AF16" s="71"/>
      <c r="AG16" s="73"/>
      <c r="AH16" s="71"/>
      <c r="AI16" s="81"/>
      <c r="AJ16" s="71"/>
      <c r="AK16" s="81"/>
      <c r="AL16" s="71"/>
      <c r="AM16" s="73"/>
      <c r="AN16" s="98"/>
      <c r="AO16" s="142"/>
      <c r="AP16" s="71"/>
      <c r="AQ16" s="73"/>
      <c r="AR16" s="87"/>
      <c r="AS16" s="788"/>
      <c r="AT16" s="71"/>
      <c r="AU16" s="73"/>
      <c r="AV16" s="89">
        <f t="shared" si="2"/>
        <v>0</v>
      </c>
      <c r="AW16" s="101">
        <f t="shared" si="3"/>
        <v>0</v>
      </c>
      <c r="AX16" s="254"/>
      <c r="AY16" s="788"/>
      <c r="AZ16" s="89">
        <f t="shared" si="0"/>
        <v>0</v>
      </c>
      <c r="BA16" s="90">
        <f t="shared" si="1"/>
        <v>0</v>
      </c>
    </row>
    <row r="17" spans="1:53" s="82" customFormat="1" ht="14.25" x14ac:dyDescent="0.3">
      <c r="A17" s="142" t="s">
        <v>68</v>
      </c>
      <c r="B17" s="63">
        <v>10485</v>
      </c>
      <c r="C17" s="80">
        <v>9651</v>
      </c>
      <c r="D17" s="89">
        <v>3</v>
      </c>
      <c r="E17" s="73">
        <v>5</v>
      </c>
      <c r="F17" s="99">
        <v>224</v>
      </c>
      <c r="G17" s="99">
        <v>422</v>
      </c>
      <c r="H17" s="99">
        <v>18465</v>
      </c>
      <c r="I17" s="73">
        <v>13658</v>
      </c>
      <c r="J17" s="89">
        <v>2000</v>
      </c>
      <c r="K17" s="73">
        <v>2237</v>
      </c>
      <c r="L17" s="92">
        <v>52</v>
      </c>
      <c r="M17" s="72">
        <v>61</v>
      </c>
      <c r="N17" s="92">
        <v>1113</v>
      </c>
      <c r="O17" s="81">
        <v>823</v>
      </c>
      <c r="P17" s="89">
        <v>2929</v>
      </c>
      <c r="Q17" s="73">
        <v>2447</v>
      </c>
      <c r="R17" s="89"/>
      <c r="S17" s="73">
        <v>4148</v>
      </c>
      <c r="T17" s="89">
        <v>621</v>
      </c>
      <c r="U17" s="73">
        <v>279</v>
      </c>
      <c r="V17" s="89">
        <v>17343</v>
      </c>
      <c r="W17" s="73">
        <v>15043</v>
      </c>
      <c r="X17" s="92">
        <v>24976</v>
      </c>
      <c r="Y17" s="81">
        <v>22465</v>
      </c>
      <c r="Z17" s="780">
        <v>238</v>
      </c>
      <c r="AA17" s="85">
        <v>268</v>
      </c>
      <c r="AB17" s="89">
        <v>780</v>
      </c>
      <c r="AC17" s="73">
        <v>605</v>
      </c>
      <c r="AD17" s="352">
        <v>10732</v>
      </c>
      <c r="AE17" s="81">
        <v>6960</v>
      </c>
      <c r="AF17" s="89">
        <v>14483</v>
      </c>
      <c r="AG17" s="73">
        <v>11797</v>
      </c>
      <c r="AH17" s="89">
        <v>2614</v>
      </c>
      <c r="AI17" s="81">
        <v>1310</v>
      </c>
      <c r="AJ17" s="89">
        <v>5561</v>
      </c>
      <c r="AK17" s="81">
        <v>4822</v>
      </c>
      <c r="AL17" s="71"/>
      <c r="AM17" s="73"/>
      <c r="AN17" s="800">
        <v>44741</v>
      </c>
      <c r="AO17" s="142">
        <v>29647</v>
      </c>
      <c r="AP17" s="71">
        <v>658.69</v>
      </c>
      <c r="AQ17" s="73">
        <v>721</v>
      </c>
      <c r="AR17" s="87">
        <v>15</v>
      </c>
      <c r="AS17" s="788">
        <v>8</v>
      </c>
      <c r="AT17" s="89">
        <v>23470</v>
      </c>
      <c r="AU17" s="73">
        <v>16592</v>
      </c>
      <c r="AV17" s="89">
        <f t="shared" si="2"/>
        <v>181503.69</v>
      </c>
      <c r="AW17" s="101">
        <f t="shared" si="3"/>
        <v>143969</v>
      </c>
      <c r="AX17" s="99">
        <v>1072052.76</v>
      </c>
      <c r="AY17" s="788">
        <v>977082.96</v>
      </c>
      <c r="AZ17" s="89">
        <f t="shared" si="0"/>
        <v>1253556.45</v>
      </c>
      <c r="BA17" s="90">
        <f t="shared" si="1"/>
        <v>1121051.96</v>
      </c>
    </row>
    <row r="18" spans="1:53" s="82" customFormat="1" ht="14.25" x14ac:dyDescent="0.3">
      <c r="A18" s="142" t="s">
        <v>6</v>
      </c>
      <c r="B18" s="253">
        <v>1238</v>
      </c>
      <c r="C18" s="80">
        <v>1152</v>
      </c>
      <c r="D18" s="71">
        <v>20</v>
      </c>
      <c r="E18" s="73">
        <v>73</v>
      </c>
      <c r="F18" s="98">
        <v>125</v>
      </c>
      <c r="G18" s="98">
        <v>225</v>
      </c>
      <c r="H18" s="98">
        <v>2470</v>
      </c>
      <c r="I18" s="73">
        <v>1214</v>
      </c>
      <c r="J18" s="71">
        <v>3591</v>
      </c>
      <c r="K18" s="73">
        <v>2769</v>
      </c>
      <c r="L18" s="72">
        <v>390</v>
      </c>
      <c r="M18" s="72">
        <v>54</v>
      </c>
      <c r="N18" s="72">
        <v>217</v>
      </c>
      <c r="O18" s="81">
        <v>87</v>
      </c>
      <c r="P18" s="71">
        <v>151</v>
      </c>
      <c r="Q18" s="73">
        <v>371</v>
      </c>
      <c r="R18" s="71"/>
      <c r="S18" s="73">
        <v>2664</v>
      </c>
      <c r="T18" s="71">
        <v>289</v>
      </c>
      <c r="U18" s="73">
        <v>214</v>
      </c>
      <c r="V18" s="71">
        <v>8306</v>
      </c>
      <c r="W18" s="73">
        <v>7598</v>
      </c>
      <c r="X18" s="72">
        <v>8980</v>
      </c>
      <c r="Y18" s="81">
        <v>5823</v>
      </c>
      <c r="Z18" s="780">
        <v>36</v>
      </c>
      <c r="AA18" s="85">
        <v>36</v>
      </c>
      <c r="AB18" s="71">
        <v>683</v>
      </c>
      <c r="AC18" s="73">
        <v>356</v>
      </c>
      <c r="AD18" s="98">
        <v>2036</v>
      </c>
      <c r="AE18" s="81">
        <v>1158</v>
      </c>
      <c r="AF18" s="71">
        <v>3014</v>
      </c>
      <c r="AG18" s="73">
        <v>759</v>
      </c>
      <c r="AH18" s="71">
        <v>1850</v>
      </c>
      <c r="AI18" s="81">
        <v>893</v>
      </c>
      <c r="AJ18" s="71">
        <v>838</v>
      </c>
      <c r="AK18" s="81">
        <v>591</v>
      </c>
      <c r="AL18" s="71"/>
      <c r="AM18" s="73"/>
      <c r="AN18" s="800">
        <v>1052</v>
      </c>
      <c r="AO18" s="142">
        <v>347</v>
      </c>
      <c r="AP18" s="71">
        <v>1089.6099999999999</v>
      </c>
      <c r="AQ18" s="73">
        <v>818.87</v>
      </c>
      <c r="AR18" s="87">
        <v>99</v>
      </c>
      <c r="AS18" s="788">
        <v>16</v>
      </c>
      <c r="AT18" s="71">
        <v>13141</v>
      </c>
      <c r="AU18" s="73">
        <v>5177</v>
      </c>
      <c r="AV18" s="89">
        <f t="shared" si="2"/>
        <v>49615.61</v>
      </c>
      <c r="AW18" s="101">
        <f t="shared" si="3"/>
        <v>32395.87</v>
      </c>
      <c r="AX18" s="98">
        <v>158.19</v>
      </c>
      <c r="AY18" s="788">
        <v>694.18</v>
      </c>
      <c r="AZ18" s="89">
        <f t="shared" si="0"/>
        <v>49773.8</v>
      </c>
      <c r="BA18" s="90">
        <f t="shared" si="1"/>
        <v>33090.049999999996</v>
      </c>
    </row>
    <row r="19" spans="1:53" s="82" customFormat="1" ht="14.25" x14ac:dyDescent="0.3">
      <c r="A19" s="142" t="s">
        <v>69</v>
      </c>
      <c r="B19" s="253">
        <v>16909</v>
      </c>
      <c r="C19" s="80">
        <v>13502</v>
      </c>
      <c r="D19" s="71">
        <v>22</v>
      </c>
      <c r="E19" s="73">
        <v>25</v>
      </c>
      <c r="F19" s="98">
        <v>825</v>
      </c>
      <c r="G19" s="98">
        <v>611</v>
      </c>
      <c r="H19" s="98">
        <v>22432</v>
      </c>
      <c r="I19" s="73">
        <v>13414</v>
      </c>
      <c r="J19" s="71">
        <v>1767</v>
      </c>
      <c r="K19" s="73">
        <v>1999</v>
      </c>
      <c r="L19" s="72">
        <v>15644</v>
      </c>
      <c r="M19" s="72">
        <v>12051</v>
      </c>
      <c r="N19" s="72">
        <v>1089</v>
      </c>
      <c r="O19" s="81">
        <v>507</v>
      </c>
      <c r="P19" s="71">
        <v>1639</v>
      </c>
      <c r="Q19" s="73">
        <v>1250</v>
      </c>
      <c r="R19" s="71"/>
      <c r="S19" s="73">
        <v>180</v>
      </c>
      <c r="T19" s="71">
        <v>1160</v>
      </c>
      <c r="U19" s="73">
        <v>739</v>
      </c>
      <c r="V19" s="71">
        <v>8519</v>
      </c>
      <c r="W19" s="73">
        <v>6316</v>
      </c>
      <c r="X19" s="72">
        <v>37516</v>
      </c>
      <c r="Y19" s="81">
        <v>40311</v>
      </c>
      <c r="Z19" s="780">
        <v>3869</v>
      </c>
      <c r="AA19" s="85">
        <v>2929</v>
      </c>
      <c r="AB19" s="71">
        <v>11498</v>
      </c>
      <c r="AC19" s="73">
        <v>8645</v>
      </c>
      <c r="AD19" s="98">
        <v>12538</v>
      </c>
      <c r="AE19" s="81">
        <v>9409</v>
      </c>
      <c r="AF19" s="71">
        <v>820</v>
      </c>
      <c r="AG19" s="73">
        <v>498</v>
      </c>
      <c r="AH19" s="71">
        <v>15124</v>
      </c>
      <c r="AI19" s="81">
        <v>12405</v>
      </c>
      <c r="AJ19" s="71">
        <v>1091</v>
      </c>
      <c r="AK19" s="81">
        <v>879</v>
      </c>
      <c r="AL19" s="71"/>
      <c r="AM19" s="73"/>
      <c r="AN19" s="800">
        <v>5135</v>
      </c>
      <c r="AO19" s="142">
        <v>2457</v>
      </c>
      <c r="AP19" s="71"/>
      <c r="AQ19" s="73">
        <v>47.6</v>
      </c>
      <c r="AR19" s="87"/>
      <c r="AS19" s="788"/>
      <c r="AT19" s="71">
        <v>826</v>
      </c>
      <c r="AU19" s="73">
        <v>493</v>
      </c>
      <c r="AV19" s="89">
        <f t="shared" si="2"/>
        <v>158423</v>
      </c>
      <c r="AW19" s="101">
        <f t="shared" si="3"/>
        <v>128667.6</v>
      </c>
      <c r="AX19" s="98">
        <v>835.43</v>
      </c>
      <c r="AY19" s="788">
        <v>108.1</v>
      </c>
      <c r="AZ19" s="89">
        <f t="shared" si="0"/>
        <v>159258.43</v>
      </c>
      <c r="BA19" s="90">
        <f t="shared" si="1"/>
        <v>128775.70000000001</v>
      </c>
    </row>
    <row r="20" spans="1:53" s="82" customFormat="1" ht="14.25" x14ac:dyDescent="0.3">
      <c r="A20" s="142" t="s">
        <v>70</v>
      </c>
      <c r="B20" s="253"/>
      <c r="C20" s="80"/>
      <c r="D20" s="71"/>
      <c r="E20" s="73"/>
      <c r="F20" s="98"/>
      <c r="G20" s="98"/>
      <c r="H20" s="98"/>
      <c r="I20" s="73"/>
      <c r="J20" s="71"/>
      <c r="K20" s="73"/>
      <c r="L20" s="72"/>
      <c r="M20" s="72"/>
      <c r="N20" s="72"/>
      <c r="O20" s="81"/>
      <c r="P20" s="71"/>
      <c r="Q20" s="73"/>
      <c r="R20" s="71"/>
      <c r="S20" s="73">
        <v>417</v>
      </c>
      <c r="T20" s="71"/>
      <c r="U20" s="73"/>
      <c r="V20" s="71">
        <v>56070</v>
      </c>
      <c r="W20" s="73">
        <v>51515</v>
      </c>
      <c r="X20" s="72"/>
      <c r="Y20" s="81"/>
      <c r="Z20" s="780"/>
      <c r="AA20" s="85"/>
      <c r="AB20" s="71"/>
      <c r="AC20" s="73"/>
      <c r="AD20" s="98"/>
      <c r="AE20" s="81"/>
      <c r="AF20" s="71">
        <v>39243</v>
      </c>
      <c r="AG20" s="73">
        <v>38980</v>
      </c>
      <c r="AH20" s="71"/>
      <c r="AI20" s="81"/>
      <c r="AJ20" s="71"/>
      <c r="AK20" s="81"/>
      <c r="AL20" s="71"/>
      <c r="AM20" s="73"/>
      <c r="AN20" s="800">
        <v>75330</v>
      </c>
      <c r="AO20" s="142">
        <v>49556</v>
      </c>
      <c r="AP20" s="71">
        <v>4369.79</v>
      </c>
      <c r="AQ20" s="73">
        <v>3951.77</v>
      </c>
      <c r="AR20" s="87">
        <v>12441</v>
      </c>
      <c r="AS20" s="788">
        <v>10073</v>
      </c>
      <c r="AT20" s="71">
        <v>32147</v>
      </c>
      <c r="AU20" s="73">
        <v>24147</v>
      </c>
      <c r="AV20" s="89">
        <f t="shared" si="2"/>
        <v>219600.79</v>
      </c>
      <c r="AW20" s="101">
        <f t="shared" si="3"/>
        <v>178639.77</v>
      </c>
      <c r="AX20" s="98"/>
      <c r="AY20" s="788"/>
      <c r="AZ20" s="89">
        <f t="shared" si="0"/>
        <v>219600.79</v>
      </c>
      <c r="BA20" s="90">
        <f t="shared" si="1"/>
        <v>178639.77</v>
      </c>
    </row>
    <row r="21" spans="1:53" s="82" customFormat="1" ht="14.25" x14ac:dyDescent="0.3">
      <c r="A21" s="142" t="s">
        <v>71</v>
      </c>
      <c r="B21" s="253"/>
      <c r="C21" s="80"/>
      <c r="D21" s="71"/>
      <c r="E21" s="73"/>
      <c r="F21" s="98"/>
      <c r="G21" s="98"/>
      <c r="H21" s="98">
        <v>191</v>
      </c>
      <c r="I21" s="73">
        <v>430</v>
      </c>
      <c r="J21" s="71"/>
      <c r="K21" s="73"/>
      <c r="L21" s="72"/>
      <c r="M21" s="72"/>
      <c r="N21" s="72">
        <v>25</v>
      </c>
      <c r="O21" s="81">
        <v>10</v>
      </c>
      <c r="P21" s="71"/>
      <c r="Q21" s="73"/>
      <c r="R21" s="71"/>
      <c r="S21" s="73"/>
      <c r="T21" s="71"/>
      <c r="U21" s="73"/>
      <c r="V21" s="71">
        <v>260</v>
      </c>
      <c r="W21" s="73">
        <v>132</v>
      </c>
      <c r="X21" s="72">
        <v>131</v>
      </c>
      <c r="Y21" s="81">
        <v>42</v>
      </c>
      <c r="Z21" s="780"/>
      <c r="AA21" s="85"/>
      <c r="AB21" s="71"/>
      <c r="AC21" s="73"/>
      <c r="AD21" s="98">
        <v>1251</v>
      </c>
      <c r="AE21" s="81">
        <v>530</v>
      </c>
      <c r="AF21" s="71"/>
      <c r="AG21" s="73"/>
      <c r="AH21" s="71"/>
      <c r="AI21" s="81"/>
      <c r="AJ21" s="71"/>
      <c r="AK21" s="81"/>
      <c r="AL21" s="71"/>
      <c r="AM21" s="73"/>
      <c r="AN21" s="98">
        <v>7</v>
      </c>
      <c r="AO21" s="142">
        <v>7</v>
      </c>
      <c r="AP21" s="71"/>
      <c r="AQ21" s="73"/>
      <c r="AR21" s="87"/>
      <c r="AS21" s="788"/>
      <c r="AT21" s="71">
        <v>15</v>
      </c>
      <c r="AU21" s="73">
        <v>16</v>
      </c>
      <c r="AV21" s="89">
        <f t="shared" si="2"/>
        <v>1880</v>
      </c>
      <c r="AW21" s="101">
        <f t="shared" si="3"/>
        <v>1167</v>
      </c>
      <c r="AX21" s="98">
        <v>1650.53</v>
      </c>
      <c r="AY21" s="788"/>
      <c r="AZ21" s="89">
        <f t="shared" si="0"/>
        <v>3530.5299999999997</v>
      </c>
      <c r="BA21" s="90">
        <f t="shared" si="1"/>
        <v>1167</v>
      </c>
    </row>
    <row r="22" spans="1:53" s="82" customFormat="1" ht="14.25" x14ac:dyDescent="0.3">
      <c r="A22" s="142" t="s">
        <v>15</v>
      </c>
      <c r="B22" s="63"/>
      <c r="C22" s="80"/>
      <c r="D22" s="89"/>
      <c r="E22" s="73"/>
      <c r="F22" s="99"/>
      <c r="G22" s="99"/>
      <c r="H22" s="99"/>
      <c r="I22" s="73"/>
      <c r="J22" s="89"/>
      <c r="K22" s="73"/>
      <c r="L22" s="92"/>
      <c r="M22" s="72"/>
      <c r="N22" s="92"/>
      <c r="O22" s="81"/>
      <c r="P22" s="89"/>
      <c r="Q22" s="73"/>
      <c r="R22" s="89"/>
      <c r="S22" s="73"/>
      <c r="T22" s="89"/>
      <c r="U22" s="73"/>
      <c r="V22" s="89"/>
      <c r="W22" s="73"/>
      <c r="X22" s="92"/>
      <c r="Y22" s="81"/>
      <c r="Z22" s="780"/>
      <c r="AA22" s="85"/>
      <c r="AB22" s="89">
        <v>55</v>
      </c>
      <c r="AC22" s="73">
        <v>45</v>
      </c>
      <c r="AD22" s="352"/>
      <c r="AE22" s="81"/>
      <c r="AF22" s="89"/>
      <c r="AG22" s="73"/>
      <c r="AH22" s="89"/>
      <c r="AI22" s="81"/>
      <c r="AJ22" s="89"/>
      <c r="AK22" s="94"/>
      <c r="AL22" s="71"/>
      <c r="AM22" s="73"/>
      <c r="AN22" s="800"/>
      <c r="AO22" s="142"/>
      <c r="AP22" s="71"/>
      <c r="AQ22" s="73"/>
      <c r="AR22" s="87"/>
      <c r="AS22" s="788"/>
      <c r="AT22" s="89"/>
      <c r="AU22" s="73"/>
      <c r="AV22" s="89">
        <f t="shared" si="2"/>
        <v>55</v>
      </c>
      <c r="AW22" s="101">
        <f t="shared" si="3"/>
        <v>45</v>
      </c>
      <c r="AX22" s="99">
        <v>11.51</v>
      </c>
      <c r="AY22" s="788"/>
      <c r="AZ22" s="89">
        <f t="shared" si="0"/>
        <v>66.510000000000005</v>
      </c>
      <c r="BA22" s="90">
        <f t="shared" si="1"/>
        <v>45</v>
      </c>
    </row>
    <row r="23" spans="1:53" s="82" customFormat="1" ht="14.25" x14ac:dyDescent="0.3">
      <c r="A23" s="142" t="s">
        <v>17</v>
      </c>
      <c r="B23" s="253"/>
      <c r="C23" s="80"/>
      <c r="D23" s="71"/>
      <c r="E23" s="73"/>
      <c r="F23" s="98">
        <v>75</v>
      </c>
      <c r="G23" s="98">
        <v>63</v>
      </c>
      <c r="H23" s="98"/>
      <c r="I23" s="73"/>
      <c r="J23" s="71"/>
      <c r="K23" s="73"/>
      <c r="L23" s="72"/>
      <c r="M23" s="72"/>
      <c r="N23" s="72"/>
      <c r="O23" s="81"/>
      <c r="P23" s="71"/>
      <c r="Q23" s="73"/>
      <c r="R23" s="71"/>
      <c r="S23" s="73"/>
      <c r="T23" s="71">
        <v>67</v>
      </c>
      <c r="U23" s="73">
        <v>85</v>
      </c>
      <c r="V23" s="71">
        <v>56</v>
      </c>
      <c r="W23" s="73">
        <v>61</v>
      </c>
      <c r="X23" s="72">
        <v>226</v>
      </c>
      <c r="Y23" s="81">
        <v>200</v>
      </c>
      <c r="Z23" s="780"/>
      <c r="AA23" s="85"/>
      <c r="AB23" s="71"/>
      <c r="AC23" s="73"/>
      <c r="AD23" s="98"/>
      <c r="AE23" s="81"/>
      <c r="AF23" s="71">
        <v>341</v>
      </c>
      <c r="AG23" s="73">
        <v>318</v>
      </c>
      <c r="AH23" s="71">
        <v>643</v>
      </c>
      <c r="AI23" s="81">
        <v>615</v>
      </c>
      <c r="AJ23" s="71"/>
      <c r="AK23" s="81"/>
      <c r="AL23" s="71"/>
      <c r="AM23" s="73"/>
      <c r="AN23" s="800"/>
      <c r="AO23" s="142">
        <v>2</v>
      </c>
      <c r="AP23" s="71"/>
      <c r="AQ23" s="73"/>
      <c r="AR23" s="87"/>
      <c r="AS23" s="788"/>
      <c r="AT23" s="71"/>
      <c r="AU23" s="73"/>
      <c r="AV23" s="89">
        <f t="shared" si="2"/>
        <v>1408</v>
      </c>
      <c r="AW23" s="101">
        <f t="shared" si="3"/>
        <v>1344</v>
      </c>
      <c r="AX23" s="254">
        <v>1146.8900000000001</v>
      </c>
      <c r="AY23" s="788">
        <v>231.15</v>
      </c>
      <c r="AZ23" s="89">
        <f t="shared" si="0"/>
        <v>2554.8900000000003</v>
      </c>
      <c r="BA23" s="90">
        <f t="shared" si="1"/>
        <v>1575.15</v>
      </c>
    </row>
    <row r="24" spans="1:53" s="82" customFormat="1" ht="14.25" x14ac:dyDescent="0.3">
      <c r="A24" s="142" t="s">
        <v>72</v>
      </c>
      <c r="B24" s="253">
        <v>4</v>
      </c>
      <c r="C24" s="80">
        <v>12</v>
      </c>
      <c r="D24" s="71">
        <v>11</v>
      </c>
      <c r="E24" s="73">
        <v>86</v>
      </c>
      <c r="F24" s="98"/>
      <c r="G24" s="98"/>
      <c r="H24" s="98"/>
      <c r="I24" s="73"/>
      <c r="J24" s="71"/>
      <c r="K24" s="73">
        <v>3</v>
      </c>
      <c r="L24" s="72">
        <v>3</v>
      </c>
      <c r="M24" s="72">
        <v>69</v>
      </c>
      <c r="N24" s="72"/>
      <c r="O24" s="81"/>
      <c r="P24" s="71"/>
      <c r="Q24" s="73">
        <v>1</v>
      </c>
      <c r="R24" s="71"/>
      <c r="S24" s="73"/>
      <c r="T24" s="71"/>
      <c r="U24" s="73"/>
      <c r="V24" s="71">
        <v>39</v>
      </c>
      <c r="W24" s="73">
        <v>550</v>
      </c>
      <c r="X24" s="72">
        <v>64</v>
      </c>
      <c r="Y24" s="81">
        <v>722</v>
      </c>
      <c r="Z24" s="780"/>
      <c r="AA24" s="85"/>
      <c r="AB24" s="71">
        <v>1.1999999999999999E-3</v>
      </c>
      <c r="AC24" s="73">
        <v>0.14000000000000001</v>
      </c>
      <c r="AD24" s="98"/>
      <c r="AE24" s="81">
        <v>1</v>
      </c>
      <c r="AF24" s="71">
        <v>192</v>
      </c>
      <c r="AG24" s="73">
        <v>1525</v>
      </c>
      <c r="AH24" s="71">
        <v>22</v>
      </c>
      <c r="AI24" s="81">
        <v>424</v>
      </c>
      <c r="AJ24" s="71"/>
      <c r="AK24" s="81">
        <v>1</v>
      </c>
      <c r="AL24" s="71"/>
      <c r="AM24" s="73"/>
      <c r="AN24" s="800">
        <v>1</v>
      </c>
      <c r="AO24" s="142">
        <v>11</v>
      </c>
      <c r="AP24" s="71"/>
      <c r="AQ24" s="73">
        <v>0.04</v>
      </c>
      <c r="AR24" s="87"/>
      <c r="AS24" s="788"/>
      <c r="AT24" s="71">
        <v>112</v>
      </c>
      <c r="AU24" s="73">
        <v>1491</v>
      </c>
      <c r="AV24" s="89">
        <f t="shared" si="2"/>
        <v>448.00119999999998</v>
      </c>
      <c r="AW24" s="101">
        <f t="shared" si="3"/>
        <v>4896.18</v>
      </c>
      <c r="AX24" s="254"/>
      <c r="AY24" s="788"/>
      <c r="AZ24" s="89">
        <f t="shared" si="0"/>
        <v>448.00119999999998</v>
      </c>
      <c r="BA24" s="90">
        <f t="shared" si="1"/>
        <v>4896.18</v>
      </c>
    </row>
    <row r="25" spans="1:53" s="82" customFormat="1" ht="14.25" x14ac:dyDescent="0.3">
      <c r="A25" s="142" t="s">
        <v>73</v>
      </c>
      <c r="B25" s="354"/>
      <c r="C25" s="80"/>
      <c r="D25" s="113"/>
      <c r="E25" s="73"/>
      <c r="F25" s="110"/>
      <c r="G25" s="110">
        <v>3</v>
      </c>
      <c r="H25" s="110"/>
      <c r="I25" s="73"/>
      <c r="J25" s="113"/>
      <c r="K25" s="73"/>
      <c r="L25" s="111"/>
      <c r="M25" s="72"/>
      <c r="N25" s="111"/>
      <c r="O25" s="81"/>
      <c r="P25" s="113"/>
      <c r="Q25" s="73"/>
      <c r="R25" s="113"/>
      <c r="S25" s="73">
        <v>21</v>
      </c>
      <c r="T25" s="113"/>
      <c r="U25" s="73"/>
      <c r="V25" s="113"/>
      <c r="W25" s="73"/>
      <c r="X25" s="111"/>
      <c r="Y25" s="81"/>
      <c r="Z25" s="794"/>
      <c r="AA25" s="85"/>
      <c r="AB25" s="113"/>
      <c r="AC25" s="73"/>
      <c r="AD25" s="110">
        <v>1</v>
      </c>
      <c r="AE25" s="81"/>
      <c r="AF25" s="113"/>
      <c r="AG25" s="73"/>
      <c r="AH25" s="113"/>
      <c r="AI25" s="81"/>
      <c r="AJ25" s="113">
        <v>3</v>
      </c>
      <c r="AK25" s="114"/>
      <c r="AL25" s="113"/>
      <c r="AM25" s="73"/>
      <c r="AN25" s="802"/>
      <c r="AO25" s="142"/>
      <c r="AP25" s="113"/>
      <c r="AQ25" s="73"/>
      <c r="AR25" s="116"/>
      <c r="AS25" s="788"/>
      <c r="AT25" s="113"/>
      <c r="AU25" s="73"/>
      <c r="AV25" s="89">
        <f t="shared" si="2"/>
        <v>4</v>
      </c>
      <c r="AW25" s="101">
        <f t="shared" si="3"/>
        <v>24</v>
      </c>
      <c r="AX25" s="798"/>
      <c r="AY25" s="788"/>
      <c r="AZ25" s="89">
        <f t="shared" si="0"/>
        <v>4</v>
      </c>
      <c r="BA25" s="90">
        <f t="shared" si="1"/>
        <v>24</v>
      </c>
    </row>
    <row r="26" spans="1:53" s="82" customFormat="1" ht="14.25" x14ac:dyDescent="0.3">
      <c r="A26" s="355" t="s">
        <v>16</v>
      </c>
      <c r="B26" s="354">
        <v>103</v>
      </c>
      <c r="C26" s="80">
        <v>10</v>
      </c>
      <c r="D26" s="113"/>
      <c r="E26" s="73"/>
      <c r="F26" s="110"/>
      <c r="G26" s="73"/>
      <c r="H26" s="110">
        <v>317</v>
      </c>
      <c r="I26" s="73">
        <v>126</v>
      </c>
      <c r="J26" s="113"/>
      <c r="K26" s="73"/>
      <c r="L26" s="111">
        <v>115</v>
      </c>
      <c r="M26" s="72">
        <v>162</v>
      </c>
      <c r="N26" s="111"/>
      <c r="O26" s="81"/>
      <c r="P26" s="113"/>
      <c r="Q26" s="73"/>
      <c r="R26" s="113"/>
      <c r="S26" s="73">
        <v>134</v>
      </c>
      <c r="T26" s="113"/>
      <c r="U26" s="73"/>
      <c r="V26" s="113"/>
      <c r="W26" s="73"/>
      <c r="X26" s="111">
        <v>6</v>
      </c>
      <c r="Y26" s="81"/>
      <c r="Z26" s="794"/>
      <c r="AA26" s="85"/>
      <c r="AB26" s="113"/>
      <c r="AC26" s="73"/>
      <c r="AD26" s="110">
        <v>19</v>
      </c>
      <c r="AE26" s="81">
        <v>91</v>
      </c>
      <c r="AF26" s="113"/>
      <c r="AG26" s="73"/>
      <c r="AH26" s="113">
        <v>4</v>
      </c>
      <c r="AI26" s="81"/>
      <c r="AJ26" s="113"/>
      <c r="AK26" s="114"/>
      <c r="AL26" s="113"/>
      <c r="AM26" s="73"/>
      <c r="AN26" s="802">
        <v>21</v>
      </c>
      <c r="AO26" s="355"/>
      <c r="AP26" s="113"/>
      <c r="AQ26" s="109"/>
      <c r="AR26" s="116"/>
      <c r="AS26" s="117"/>
      <c r="AT26" s="113"/>
      <c r="AU26" s="109"/>
      <c r="AV26" s="118"/>
      <c r="AW26" s="120"/>
      <c r="AX26" s="798"/>
      <c r="AY26" s="788"/>
      <c r="AZ26" s="118"/>
      <c r="BA26" s="357"/>
    </row>
    <row r="27" spans="1:53" s="82" customFormat="1" ht="15" thickBot="1" x14ac:dyDescent="0.35">
      <c r="A27" s="355" t="s">
        <v>74</v>
      </c>
      <c r="B27" s="354"/>
      <c r="C27" s="80"/>
      <c r="D27" s="113"/>
      <c r="E27" s="73"/>
      <c r="F27" s="110"/>
      <c r="G27" s="73"/>
      <c r="H27" s="110"/>
      <c r="I27" s="73"/>
      <c r="J27" s="113"/>
      <c r="K27" s="73"/>
      <c r="L27" s="111"/>
      <c r="M27" s="72"/>
      <c r="N27" s="111"/>
      <c r="O27" s="81"/>
      <c r="P27" s="113"/>
      <c r="Q27" s="73"/>
      <c r="R27" s="113"/>
      <c r="S27" s="73"/>
      <c r="T27" s="113"/>
      <c r="U27" s="73"/>
      <c r="V27" s="113"/>
      <c r="W27" s="73"/>
      <c r="X27" s="111"/>
      <c r="Y27" s="81"/>
      <c r="Z27" s="794"/>
      <c r="AA27" s="85"/>
      <c r="AB27" s="113"/>
      <c r="AC27" s="73"/>
      <c r="AD27" s="110"/>
      <c r="AE27" s="81"/>
      <c r="AF27" s="113"/>
      <c r="AG27" s="73">
        <v>-3</v>
      </c>
      <c r="AH27" s="113"/>
      <c r="AI27" s="81"/>
      <c r="AJ27" s="113"/>
      <c r="AK27" s="114"/>
      <c r="AL27" s="113"/>
      <c r="AM27" s="73"/>
      <c r="AN27" s="802"/>
      <c r="AO27" s="355"/>
      <c r="AP27" s="113">
        <v>0.09</v>
      </c>
      <c r="AQ27" s="109"/>
      <c r="AR27" s="116"/>
      <c r="AS27" s="117"/>
      <c r="AT27" s="113"/>
      <c r="AU27" s="109"/>
      <c r="AV27" s="118">
        <f>SUM(B27+D27+F27+H27+J27+L27+N27+P27+R27+T27+V27+X27+Z27+AB27+AD27+AF27+AH27+AJ27+AL27+AN27+AP27+AR27+AT27)</f>
        <v>0.09</v>
      </c>
      <c r="AW27" s="120">
        <v>4</v>
      </c>
      <c r="AX27" s="798">
        <v>7433.41</v>
      </c>
      <c r="AY27" s="788">
        <v>6351.31</v>
      </c>
      <c r="AZ27" s="118">
        <f>AV27+AX27</f>
        <v>7433.5</v>
      </c>
      <c r="BA27" s="357">
        <f>AW27+AY27</f>
        <v>6355.31</v>
      </c>
    </row>
    <row r="28" spans="1:53" s="356" customFormat="1" ht="15" thickBot="1" x14ac:dyDescent="0.35">
      <c r="A28" s="367" t="s">
        <v>54</v>
      </c>
      <c r="B28" s="358">
        <f>SUM(B17:B27)</f>
        <v>28739</v>
      </c>
      <c r="C28" s="360">
        <f>SUM(C17:C27)</f>
        <v>24327</v>
      </c>
      <c r="D28" s="358">
        <f t="shared" ref="D28:I28" si="15">SUM(D17:D25)</f>
        <v>56</v>
      </c>
      <c r="E28" s="360">
        <f t="shared" si="15"/>
        <v>189</v>
      </c>
      <c r="F28" s="361">
        <f t="shared" si="15"/>
        <v>1249</v>
      </c>
      <c r="G28" s="360">
        <f t="shared" si="15"/>
        <v>1324</v>
      </c>
      <c r="H28" s="361">
        <f>SUM(H17:H27)</f>
        <v>43875</v>
      </c>
      <c r="I28" s="360">
        <f t="shared" si="15"/>
        <v>28716</v>
      </c>
      <c r="J28" s="358">
        <f t="shared" ref="J28:AN28" si="16">SUM(J17:J27)</f>
        <v>7358</v>
      </c>
      <c r="K28" s="360">
        <f t="shared" si="16"/>
        <v>7008</v>
      </c>
      <c r="L28" s="358">
        <f t="shared" si="16"/>
        <v>16204</v>
      </c>
      <c r="M28" s="358">
        <f t="shared" si="16"/>
        <v>12397</v>
      </c>
      <c r="N28" s="358">
        <f t="shared" si="16"/>
        <v>2444</v>
      </c>
      <c r="O28" s="359">
        <f t="shared" si="16"/>
        <v>1427</v>
      </c>
      <c r="P28" s="358">
        <f t="shared" si="16"/>
        <v>4719</v>
      </c>
      <c r="Q28" s="360">
        <f t="shared" si="16"/>
        <v>4069</v>
      </c>
      <c r="R28" s="358">
        <f t="shared" si="16"/>
        <v>0</v>
      </c>
      <c r="S28" s="360">
        <f t="shared" si="16"/>
        <v>7564</v>
      </c>
      <c r="T28" s="358">
        <f t="shared" si="16"/>
        <v>2137</v>
      </c>
      <c r="U28" s="360">
        <f t="shared" si="16"/>
        <v>1317</v>
      </c>
      <c r="V28" s="358">
        <f t="shared" si="16"/>
        <v>90593</v>
      </c>
      <c r="W28" s="360">
        <f t="shared" si="16"/>
        <v>81215</v>
      </c>
      <c r="X28" s="358">
        <f t="shared" si="16"/>
        <v>71899</v>
      </c>
      <c r="Y28" s="359">
        <f t="shared" si="16"/>
        <v>69563</v>
      </c>
      <c r="Z28" s="358">
        <f t="shared" si="16"/>
        <v>4143</v>
      </c>
      <c r="AA28" s="360">
        <f t="shared" si="16"/>
        <v>3233</v>
      </c>
      <c r="AB28" s="358">
        <f t="shared" si="16"/>
        <v>13016.001200000001</v>
      </c>
      <c r="AC28" s="360">
        <f t="shared" si="16"/>
        <v>9651.14</v>
      </c>
      <c r="AD28" s="361">
        <f t="shared" si="16"/>
        <v>26577</v>
      </c>
      <c r="AE28" s="359">
        <f t="shared" si="16"/>
        <v>18149</v>
      </c>
      <c r="AF28" s="358">
        <f t="shared" si="16"/>
        <v>58093</v>
      </c>
      <c r="AG28" s="360">
        <f t="shared" si="16"/>
        <v>53874</v>
      </c>
      <c r="AH28" s="358">
        <f t="shared" si="16"/>
        <v>20257</v>
      </c>
      <c r="AI28" s="359">
        <f t="shared" si="16"/>
        <v>15647</v>
      </c>
      <c r="AJ28" s="358">
        <f t="shared" si="16"/>
        <v>7493</v>
      </c>
      <c r="AK28" s="359">
        <f t="shared" si="16"/>
        <v>6293</v>
      </c>
      <c r="AL28" s="358">
        <f>AL9</f>
        <v>0</v>
      </c>
      <c r="AM28" s="360">
        <f>AM9</f>
        <v>0</v>
      </c>
      <c r="AN28" s="361">
        <f t="shared" si="16"/>
        <v>126287</v>
      </c>
      <c r="AO28" s="363">
        <f t="shared" ref="AO28:AU28" si="17">SUM(AO17:AO27)</f>
        <v>82027</v>
      </c>
      <c r="AP28" s="364">
        <f t="shared" si="17"/>
        <v>6118.18</v>
      </c>
      <c r="AQ28" s="796">
        <f t="shared" si="17"/>
        <v>5539.28</v>
      </c>
      <c r="AR28" s="362">
        <f t="shared" si="17"/>
        <v>12555</v>
      </c>
      <c r="AS28" s="363">
        <f t="shared" si="17"/>
        <v>10097</v>
      </c>
      <c r="AT28" s="364">
        <f t="shared" si="17"/>
        <v>69711</v>
      </c>
      <c r="AU28" s="796">
        <f t="shared" si="17"/>
        <v>47916</v>
      </c>
      <c r="AV28" s="364">
        <f>SUM(B28+D28+F28+H28+J28+L28+N28+P28+R28+T28+V28+X28+Z28+AB28+AD28+AF28+AH28+AJ28+AL28+AN28+AP28+AR28+AT28)</f>
        <v>613523.18120000011</v>
      </c>
      <c r="AW28" s="371">
        <f>SUM(C28+E28+G28+I28+K28+M28+O28+Q28+S28+U28+W28+Y28+AA28+AC28+AE28+AG28+AI28+AK28+AM28+AO28+AQ28+AS28+AU28)</f>
        <v>491542.42000000004</v>
      </c>
      <c r="AX28" s="365">
        <f>SUM(AX17:AX27)</f>
        <v>1083288.7199999997</v>
      </c>
      <c r="AY28" s="804">
        <f>SUM(AY17:AY27)</f>
        <v>984467.70000000007</v>
      </c>
      <c r="AZ28" s="364">
        <f>AV28+AX28</f>
        <v>1696811.9011999997</v>
      </c>
      <c r="BA28" s="366">
        <f>AW28+AY28</f>
        <v>1476010.12</v>
      </c>
    </row>
  </sheetData>
  <mergeCells count="29">
    <mergeCell ref="AP3:AQ3"/>
    <mergeCell ref="AR3:AS3"/>
    <mergeCell ref="AV3:AW3"/>
    <mergeCell ref="AX3:AY3"/>
    <mergeCell ref="AZ3:BA3"/>
    <mergeCell ref="AL3:AM3"/>
    <mergeCell ref="AN3:AO3"/>
    <mergeCell ref="R3:S3"/>
    <mergeCell ref="T3:U3"/>
    <mergeCell ref="V3:W3"/>
    <mergeCell ref="X3:Y3"/>
    <mergeCell ref="Z3:AA3"/>
    <mergeCell ref="AB3:AC3"/>
    <mergeCell ref="A1:AZ1"/>
    <mergeCell ref="A2:AZ2"/>
    <mergeCell ref="A3:A4"/>
    <mergeCell ref="N3:O3"/>
    <mergeCell ref="D3:E3"/>
    <mergeCell ref="F3:G3"/>
    <mergeCell ref="B3:C3"/>
    <mergeCell ref="H3:I3"/>
    <mergeCell ref="J3:K3"/>
    <mergeCell ref="L3:M3"/>
    <mergeCell ref="P3:Q3"/>
    <mergeCell ref="AT3:AU3"/>
    <mergeCell ref="AD3:AE3"/>
    <mergeCell ref="AF3:AG3"/>
    <mergeCell ref="AH3:AI3"/>
    <mergeCell ref="AJ3:AK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BA40"/>
  <sheetViews>
    <sheetView workbookViewId="0">
      <pane xSplit="1" topLeftCell="AN1" activePane="topRight" state="frozen"/>
      <selection pane="topRight" activeCell="AY37" sqref="AY37"/>
    </sheetView>
  </sheetViews>
  <sheetFormatPr defaultRowHeight="16.5" x14ac:dyDescent="0.3"/>
  <cols>
    <col min="1" max="1" width="22.7109375" style="95" customWidth="1"/>
    <col min="2" max="26" width="12.42578125" style="95" bestFit="1" customWidth="1"/>
    <col min="27" max="27" width="12.42578125" style="95" customWidth="1"/>
    <col min="28" max="53" width="12.42578125" style="95" bestFit="1" customWidth="1"/>
    <col min="54" max="16384" width="9.140625" style="95"/>
  </cols>
  <sheetData>
    <row r="1" spans="1:53" ht="18" x14ac:dyDescent="0.35">
      <c r="A1" s="1066" t="s">
        <v>146</v>
      </c>
      <c r="B1" s="1066"/>
      <c r="C1" s="1066"/>
      <c r="D1" s="1066"/>
      <c r="E1" s="1066"/>
      <c r="F1" s="1066"/>
      <c r="G1" s="1066"/>
      <c r="H1" s="1066"/>
      <c r="I1" s="1066"/>
      <c r="J1" s="1066"/>
      <c r="K1" s="1066"/>
      <c r="L1" s="1066"/>
      <c r="M1" s="1066"/>
      <c r="N1" s="1066"/>
      <c r="O1" s="1066"/>
      <c r="P1" s="1066"/>
      <c r="Q1" s="1066"/>
      <c r="R1" s="1066"/>
      <c r="S1" s="1066"/>
      <c r="T1" s="1066"/>
      <c r="U1" s="1066"/>
      <c r="V1" s="1066"/>
      <c r="W1" s="1066"/>
      <c r="X1" s="1066"/>
      <c r="Y1" s="1066"/>
      <c r="Z1" s="1066"/>
      <c r="AA1" s="1066"/>
      <c r="AB1" s="1066"/>
      <c r="AC1" s="1066"/>
      <c r="AD1" s="1066"/>
      <c r="AE1" s="1066"/>
      <c r="AF1" s="1066"/>
      <c r="AG1" s="1066"/>
      <c r="AH1" s="1066"/>
      <c r="AI1" s="1066"/>
      <c r="AJ1" s="1066"/>
      <c r="AK1" s="1066"/>
      <c r="AL1" s="1066"/>
      <c r="AM1" s="1066"/>
      <c r="AN1" s="1066"/>
      <c r="AO1" s="1066"/>
      <c r="AP1" s="1066"/>
      <c r="AQ1" s="1066"/>
      <c r="AR1" s="1066"/>
      <c r="AS1" s="1066"/>
      <c r="AT1" s="1066"/>
      <c r="AU1" s="1066"/>
      <c r="AV1" s="1066"/>
      <c r="AW1" s="1066"/>
      <c r="AX1" s="1066"/>
      <c r="AY1" s="1066"/>
      <c r="AZ1" s="1066"/>
    </row>
    <row r="2" spans="1:53" s="368" customFormat="1" ht="18.75" thickBot="1" x14ac:dyDescent="0.4">
      <c r="A2" s="1058" t="s">
        <v>367</v>
      </c>
      <c r="B2" s="1058"/>
      <c r="C2" s="1058"/>
      <c r="D2" s="1058"/>
      <c r="E2" s="1058"/>
      <c r="F2" s="1058"/>
      <c r="G2" s="1058"/>
      <c r="H2" s="1058"/>
      <c r="I2" s="1058"/>
      <c r="J2" s="1058"/>
      <c r="K2" s="1058"/>
      <c r="L2" s="1058"/>
      <c r="M2" s="1058"/>
      <c r="N2" s="1058"/>
      <c r="O2" s="1058"/>
      <c r="P2" s="1058"/>
      <c r="Q2" s="1058"/>
      <c r="R2" s="1058"/>
      <c r="S2" s="1058"/>
      <c r="T2" s="1058"/>
      <c r="U2" s="1058"/>
      <c r="V2" s="1058"/>
      <c r="W2" s="1058"/>
      <c r="X2" s="1058"/>
      <c r="Y2" s="1058"/>
      <c r="Z2" s="1058"/>
      <c r="AA2" s="1058"/>
      <c r="AB2" s="1058"/>
      <c r="AC2" s="1058"/>
      <c r="AD2" s="1058"/>
      <c r="AE2" s="1058"/>
      <c r="AF2" s="1058"/>
      <c r="AG2" s="1058"/>
      <c r="AH2" s="1058"/>
      <c r="AI2" s="1058"/>
      <c r="AJ2" s="1058"/>
      <c r="AK2" s="1058"/>
      <c r="AL2" s="1058"/>
      <c r="AM2" s="1058"/>
      <c r="AN2" s="1058"/>
      <c r="AO2" s="1058"/>
      <c r="AP2" s="1058"/>
      <c r="AQ2" s="1058"/>
      <c r="AR2" s="1058"/>
      <c r="AS2" s="1058"/>
      <c r="AT2" s="1058"/>
      <c r="AU2" s="1058"/>
      <c r="AV2" s="1058"/>
      <c r="AW2" s="1058"/>
      <c r="AX2" s="1058"/>
      <c r="AY2" s="1058"/>
      <c r="AZ2" s="1058"/>
    </row>
    <row r="3" spans="1:53" s="82" customFormat="1" ht="30.75" customHeight="1" thickBot="1" x14ac:dyDescent="0.3">
      <c r="A3" s="1067" t="s">
        <v>0</v>
      </c>
      <c r="B3" s="1069" t="s">
        <v>149</v>
      </c>
      <c r="C3" s="1070"/>
      <c r="D3" s="1062" t="s">
        <v>150</v>
      </c>
      <c r="E3" s="1063"/>
      <c r="F3" s="1062" t="s">
        <v>151</v>
      </c>
      <c r="G3" s="1063"/>
      <c r="H3" s="1062" t="s">
        <v>152</v>
      </c>
      <c r="I3" s="1063"/>
      <c r="J3" s="1062" t="s">
        <v>153</v>
      </c>
      <c r="K3" s="1063"/>
      <c r="L3" s="1062" t="s">
        <v>154</v>
      </c>
      <c r="M3" s="1063"/>
      <c r="N3" s="1062" t="s">
        <v>253</v>
      </c>
      <c r="O3" s="1063"/>
      <c r="P3" s="1062" t="s">
        <v>155</v>
      </c>
      <c r="Q3" s="1063"/>
      <c r="R3" s="1062" t="s">
        <v>156</v>
      </c>
      <c r="S3" s="1063"/>
      <c r="T3" s="1062" t="s">
        <v>157</v>
      </c>
      <c r="U3" s="1063"/>
      <c r="V3" s="1062" t="s">
        <v>158</v>
      </c>
      <c r="W3" s="1063"/>
      <c r="X3" s="1062" t="s">
        <v>159</v>
      </c>
      <c r="Y3" s="1063"/>
      <c r="Z3" s="1062" t="s">
        <v>359</v>
      </c>
      <c r="AA3" s="1063"/>
      <c r="AB3" s="1062" t="s">
        <v>160</v>
      </c>
      <c r="AC3" s="1063"/>
      <c r="AD3" s="1062" t="s">
        <v>161</v>
      </c>
      <c r="AE3" s="1063"/>
      <c r="AF3" s="1062" t="s">
        <v>162</v>
      </c>
      <c r="AG3" s="1063"/>
      <c r="AH3" s="1062" t="s">
        <v>163</v>
      </c>
      <c r="AI3" s="1063"/>
      <c r="AJ3" s="1062" t="s">
        <v>164</v>
      </c>
      <c r="AK3" s="1063"/>
      <c r="AL3" s="1062" t="s">
        <v>165</v>
      </c>
      <c r="AM3" s="1063"/>
      <c r="AN3" s="1062" t="s">
        <v>166</v>
      </c>
      <c r="AO3" s="1063"/>
      <c r="AP3" s="1064" t="s">
        <v>167</v>
      </c>
      <c r="AQ3" s="1065"/>
      <c r="AR3" s="1073" t="s">
        <v>168</v>
      </c>
      <c r="AS3" s="1074"/>
      <c r="AT3" s="1062" t="s">
        <v>169</v>
      </c>
      <c r="AU3" s="1063"/>
      <c r="AV3" s="1062" t="s">
        <v>1</v>
      </c>
      <c r="AW3" s="1063"/>
      <c r="AX3" s="1064" t="s">
        <v>170</v>
      </c>
      <c r="AY3" s="1065"/>
      <c r="AZ3" s="1071" t="s">
        <v>2</v>
      </c>
      <c r="BA3" s="1072"/>
    </row>
    <row r="4" spans="1:53" s="369" customFormat="1" ht="15" customHeight="1" thickBot="1" x14ac:dyDescent="0.35">
      <c r="A4" s="1068"/>
      <c r="B4" s="401" t="s">
        <v>370</v>
      </c>
      <c r="C4" s="387" t="s">
        <v>353</v>
      </c>
      <c r="D4" s="401" t="s">
        <v>370</v>
      </c>
      <c r="E4" s="387" t="s">
        <v>353</v>
      </c>
      <c r="F4" s="401" t="s">
        <v>370</v>
      </c>
      <c r="G4" s="387" t="s">
        <v>353</v>
      </c>
      <c r="H4" s="401" t="s">
        <v>370</v>
      </c>
      <c r="I4" s="387" t="s">
        <v>353</v>
      </c>
      <c r="J4" s="401" t="s">
        <v>370</v>
      </c>
      <c r="K4" s="387" t="s">
        <v>353</v>
      </c>
      <c r="L4" s="401" t="s">
        <v>370</v>
      </c>
      <c r="M4" s="387" t="s">
        <v>353</v>
      </c>
      <c r="N4" s="401" t="s">
        <v>370</v>
      </c>
      <c r="O4" s="387" t="s">
        <v>353</v>
      </c>
      <c r="P4" s="401" t="s">
        <v>370</v>
      </c>
      <c r="Q4" s="387" t="s">
        <v>353</v>
      </c>
      <c r="R4" s="401" t="s">
        <v>370</v>
      </c>
      <c r="S4" s="387" t="s">
        <v>353</v>
      </c>
      <c r="T4" s="401" t="s">
        <v>370</v>
      </c>
      <c r="U4" s="387" t="s">
        <v>353</v>
      </c>
      <c r="V4" s="401" t="s">
        <v>370</v>
      </c>
      <c r="W4" s="387" t="s">
        <v>353</v>
      </c>
      <c r="X4" s="401" t="s">
        <v>370</v>
      </c>
      <c r="Y4" s="387" t="s">
        <v>353</v>
      </c>
      <c r="Z4" s="401" t="s">
        <v>370</v>
      </c>
      <c r="AA4" s="387" t="s">
        <v>353</v>
      </c>
      <c r="AB4" s="401" t="s">
        <v>370</v>
      </c>
      <c r="AC4" s="387" t="s">
        <v>353</v>
      </c>
      <c r="AD4" s="401" t="s">
        <v>370</v>
      </c>
      <c r="AE4" s="387" t="s">
        <v>353</v>
      </c>
      <c r="AF4" s="401" t="s">
        <v>370</v>
      </c>
      <c r="AG4" s="387" t="s">
        <v>353</v>
      </c>
      <c r="AH4" s="401" t="s">
        <v>370</v>
      </c>
      <c r="AI4" s="387" t="s">
        <v>353</v>
      </c>
      <c r="AJ4" s="401" t="s">
        <v>370</v>
      </c>
      <c r="AK4" s="387" t="s">
        <v>353</v>
      </c>
      <c r="AL4" s="401" t="s">
        <v>370</v>
      </c>
      <c r="AM4" s="387" t="s">
        <v>353</v>
      </c>
      <c r="AN4" s="401" t="s">
        <v>370</v>
      </c>
      <c r="AO4" s="387" t="s">
        <v>353</v>
      </c>
      <c r="AP4" s="401" t="s">
        <v>370</v>
      </c>
      <c r="AQ4" s="387" t="s">
        <v>353</v>
      </c>
      <c r="AR4" s="401" t="s">
        <v>370</v>
      </c>
      <c r="AS4" s="387" t="s">
        <v>353</v>
      </c>
      <c r="AT4" s="401" t="s">
        <v>370</v>
      </c>
      <c r="AU4" s="387" t="s">
        <v>353</v>
      </c>
      <c r="AV4" s="401" t="s">
        <v>370</v>
      </c>
      <c r="AW4" s="387" t="s">
        <v>353</v>
      </c>
      <c r="AX4" s="401" t="s">
        <v>370</v>
      </c>
      <c r="AY4" s="387" t="s">
        <v>353</v>
      </c>
      <c r="AZ4" s="401" t="s">
        <v>370</v>
      </c>
      <c r="BA4" s="387" t="s">
        <v>353</v>
      </c>
    </row>
    <row r="5" spans="1:53" ht="15" customHeight="1" x14ac:dyDescent="0.3">
      <c r="A5" s="465" t="s">
        <v>75</v>
      </c>
      <c r="B5" s="464">
        <v>44231</v>
      </c>
      <c r="C5" s="652">
        <v>34584</v>
      </c>
      <c r="D5" s="464">
        <v>3678</v>
      </c>
      <c r="E5" s="652">
        <v>3642</v>
      </c>
      <c r="F5" s="149">
        <v>7291</v>
      </c>
      <c r="G5" s="652">
        <v>7747</v>
      </c>
      <c r="H5" s="464">
        <v>102535</v>
      </c>
      <c r="I5" s="652">
        <v>78500</v>
      </c>
      <c r="J5" s="464">
        <v>23873</v>
      </c>
      <c r="K5" s="652">
        <v>22583</v>
      </c>
      <c r="L5" s="464">
        <v>22558</v>
      </c>
      <c r="M5" s="652">
        <v>20340</v>
      </c>
      <c r="N5" s="464">
        <v>8655</v>
      </c>
      <c r="O5" s="652">
        <v>8373</v>
      </c>
      <c r="P5" s="464">
        <v>14468</v>
      </c>
      <c r="Q5" s="652">
        <v>13451</v>
      </c>
      <c r="R5" s="464"/>
      <c r="S5" s="652">
        <v>13906</v>
      </c>
      <c r="T5" s="464">
        <v>16007</v>
      </c>
      <c r="U5" s="652">
        <v>15632</v>
      </c>
      <c r="V5" s="464">
        <v>120027</v>
      </c>
      <c r="W5" s="652">
        <v>94722</v>
      </c>
      <c r="X5" s="464">
        <v>69361</v>
      </c>
      <c r="Y5" s="652">
        <v>58096</v>
      </c>
      <c r="Z5" s="464">
        <v>8856</v>
      </c>
      <c r="AA5" s="652">
        <v>6308</v>
      </c>
      <c r="AB5" s="464">
        <v>16470</v>
      </c>
      <c r="AC5" s="652">
        <v>14060.46</v>
      </c>
      <c r="AD5" s="464">
        <v>53847</v>
      </c>
      <c r="AE5" s="652">
        <v>48780</v>
      </c>
      <c r="AF5" s="464">
        <v>82993</v>
      </c>
      <c r="AG5" s="652">
        <v>77800</v>
      </c>
      <c r="AH5" s="464">
        <v>39082</v>
      </c>
      <c r="AI5" s="652">
        <v>33382</v>
      </c>
      <c r="AJ5" s="464">
        <v>39319</v>
      </c>
      <c r="AK5" s="652">
        <v>34527</v>
      </c>
      <c r="AL5" s="464"/>
      <c r="AM5" s="652"/>
      <c r="AN5" s="662">
        <v>88185</v>
      </c>
      <c r="AO5" s="661">
        <v>77186</v>
      </c>
      <c r="AP5" s="464">
        <v>16069.54</v>
      </c>
      <c r="AQ5" s="652">
        <v>15142</v>
      </c>
      <c r="AR5" s="464">
        <v>19647</v>
      </c>
      <c r="AS5" s="652">
        <v>14701</v>
      </c>
      <c r="AT5" s="464">
        <v>64206</v>
      </c>
      <c r="AU5" s="652">
        <v>47970</v>
      </c>
      <c r="AV5" s="464">
        <f>SUM(B5+D5+F5+H5+J5+L5+N5+P5+R5+T5+V5+X5+Z5+AB5+AD5+AF5+AH5+AJ5+AL5+AN5+AP5+AR5+AT5)</f>
        <v>861358.54</v>
      </c>
      <c r="AW5" s="464">
        <f>SUM(C5+E5+G5+I5+K5+M5+O5+Q5+S5+U5+W5+Y5+AA5+AC5+AE5+AG5+AI5+AK5+AM5+AO5+AQ5+AS5+AU5)</f>
        <v>741432.46</v>
      </c>
      <c r="AX5" s="464">
        <v>2113384</v>
      </c>
      <c r="AY5" s="652">
        <v>1535031.97</v>
      </c>
      <c r="AZ5" s="150">
        <f>AV5+AX5</f>
        <v>2974742.54</v>
      </c>
      <c r="BA5" s="912">
        <f>AW5+AY5</f>
        <v>2276464.4299999997</v>
      </c>
    </row>
    <row r="6" spans="1:53" x14ac:dyDescent="0.3">
      <c r="A6" s="144" t="s">
        <v>76</v>
      </c>
      <c r="B6" s="145">
        <v>1133</v>
      </c>
      <c r="C6" s="652">
        <v>336</v>
      </c>
      <c r="D6" s="149">
        <v>45</v>
      </c>
      <c r="E6" s="652">
        <v>16</v>
      </c>
      <c r="F6" s="149">
        <v>130</v>
      </c>
      <c r="G6" s="652">
        <v>22</v>
      </c>
      <c r="H6" s="149">
        <v>2693</v>
      </c>
      <c r="I6" s="652">
        <v>675</v>
      </c>
      <c r="J6" s="149">
        <v>632</v>
      </c>
      <c r="K6" s="652">
        <v>210</v>
      </c>
      <c r="L6" s="149">
        <v>922</v>
      </c>
      <c r="M6" s="652">
        <v>704</v>
      </c>
      <c r="N6" s="149">
        <v>157</v>
      </c>
      <c r="O6" s="652">
        <v>30</v>
      </c>
      <c r="P6" s="149">
        <v>583</v>
      </c>
      <c r="Q6" s="652">
        <v>126</v>
      </c>
      <c r="R6" s="149"/>
      <c r="S6" s="652">
        <v>215</v>
      </c>
      <c r="T6" s="149">
        <v>189</v>
      </c>
      <c r="U6" s="652">
        <v>71</v>
      </c>
      <c r="V6" s="149">
        <v>2728</v>
      </c>
      <c r="W6" s="652">
        <v>430</v>
      </c>
      <c r="X6" s="149">
        <v>2853</v>
      </c>
      <c r="Y6" s="652">
        <v>832</v>
      </c>
      <c r="Z6" s="232">
        <v>244</v>
      </c>
      <c r="AA6" s="652">
        <v>72</v>
      </c>
      <c r="AB6" s="149">
        <v>993</v>
      </c>
      <c r="AC6" s="652">
        <v>612</v>
      </c>
      <c r="AD6" s="149">
        <v>823</v>
      </c>
      <c r="AE6" s="652">
        <v>447</v>
      </c>
      <c r="AF6" s="149">
        <v>727</v>
      </c>
      <c r="AG6" s="652">
        <v>1228</v>
      </c>
      <c r="AH6" s="149">
        <v>842</v>
      </c>
      <c r="AI6" s="652">
        <v>297</v>
      </c>
      <c r="AJ6" s="149">
        <v>1196</v>
      </c>
      <c r="AK6" s="652">
        <v>234</v>
      </c>
      <c r="AL6" s="447"/>
      <c r="AM6" s="652"/>
      <c r="AN6" s="663">
        <v>4474</v>
      </c>
      <c r="AO6" s="661">
        <v>2973</v>
      </c>
      <c r="AP6" s="149">
        <v>1038.8499999999999</v>
      </c>
      <c r="AQ6" s="652">
        <v>833</v>
      </c>
      <c r="AR6" s="148">
        <v>421</v>
      </c>
      <c r="AS6" s="652">
        <v>146</v>
      </c>
      <c r="AT6" s="149">
        <v>3231</v>
      </c>
      <c r="AU6" s="652">
        <v>763</v>
      </c>
      <c r="AV6" s="464">
        <f t="shared" ref="AV6:AV37" si="0">SUM(B6+D6+F6+H6+J6+L6+N6+P6+R6+T6+V6+X6+Z6+AB6+AD6+AF6+AH6+AJ6+AL6+AN6+AP6+AR6+AT6)</f>
        <v>26054.85</v>
      </c>
      <c r="AW6" s="464">
        <f t="shared" ref="AW6:AW37" si="1">SUM(C6+E6+G6+I6+K6+M6+O6+Q6+S6+U6+W6+Y6+AA6+AC6+AE6+AG6+AI6+AK6+AM6+AO6+AQ6+AS6+AU6)</f>
        <v>11272</v>
      </c>
      <c r="AX6" s="148">
        <v>17416</v>
      </c>
      <c r="AY6" s="652">
        <v>17616.240000000002</v>
      </c>
      <c r="AZ6" s="150">
        <f t="shared" ref="AZ6:AZ37" si="2">AV6+AX6</f>
        <v>43470.85</v>
      </c>
      <c r="BA6" s="912">
        <f t="shared" ref="BA6:BA37" si="3">AW6+AY6</f>
        <v>28888.240000000002</v>
      </c>
    </row>
    <row r="7" spans="1:53" x14ac:dyDescent="0.3">
      <c r="A7" s="144" t="s">
        <v>77</v>
      </c>
      <c r="B7" s="145">
        <v>1717</v>
      </c>
      <c r="C7" s="652">
        <v>277</v>
      </c>
      <c r="D7" s="149">
        <v>8</v>
      </c>
      <c r="E7" s="652">
        <v>3</v>
      </c>
      <c r="F7" s="149">
        <v>1</v>
      </c>
      <c r="G7" s="652">
        <v>5</v>
      </c>
      <c r="H7" s="149">
        <v>3139</v>
      </c>
      <c r="I7" s="652">
        <v>140</v>
      </c>
      <c r="J7" s="149">
        <v>221</v>
      </c>
      <c r="K7" s="652">
        <v>75</v>
      </c>
      <c r="L7" s="149">
        <v>444</v>
      </c>
      <c r="M7" s="652">
        <v>347</v>
      </c>
      <c r="N7" s="149">
        <v>14</v>
      </c>
      <c r="O7" s="652">
        <v>14</v>
      </c>
      <c r="P7" s="149">
        <v>589</v>
      </c>
      <c r="Q7" s="652">
        <v>112</v>
      </c>
      <c r="R7" s="149"/>
      <c r="S7" s="652">
        <v>1595</v>
      </c>
      <c r="T7" s="149">
        <v>523</v>
      </c>
      <c r="U7" s="652">
        <v>424</v>
      </c>
      <c r="V7" s="149">
        <v>3661</v>
      </c>
      <c r="W7" s="652">
        <v>5631</v>
      </c>
      <c r="X7" s="149">
        <v>521</v>
      </c>
      <c r="Y7" s="652">
        <v>308</v>
      </c>
      <c r="Z7" s="232">
        <v>29</v>
      </c>
      <c r="AA7" s="652">
        <v>11</v>
      </c>
      <c r="AB7" s="149">
        <v>1373</v>
      </c>
      <c r="AC7" s="652">
        <v>859.84</v>
      </c>
      <c r="AD7" s="149">
        <v>553</v>
      </c>
      <c r="AE7" s="652">
        <v>-2</v>
      </c>
      <c r="AF7" s="149">
        <v>3186</v>
      </c>
      <c r="AG7" s="652">
        <v>2759</v>
      </c>
      <c r="AH7" s="149">
        <v>639</v>
      </c>
      <c r="AI7" s="652">
        <v>78</v>
      </c>
      <c r="AJ7" s="149">
        <v>462</v>
      </c>
      <c r="AK7" s="652">
        <v>284</v>
      </c>
      <c r="AL7" s="447"/>
      <c r="AM7" s="652"/>
      <c r="AN7" s="663">
        <v>6663</v>
      </c>
      <c r="AO7" s="661">
        <v>670</v>
      </c>
      <c r="AP7" s="149">
        <v>187</v>
      </c>
      <c r="AQ7" s="652">
        <v>110</v>
      </c>
      <c r="AR7" s="148">
        <v>537</v>
      </c>
      <c r="AS7" s="652">
        <v>374</v>
      </c>
      <c r="AT7" s="149">
        <v>7604</v>
      </c>
      <c r="AU7" s="652">
        <v>2138</v>
      </c>
      <c r="AV7" s="464">
        <f t="shared" si="0"/>
        <v>32071</v>
      </c>
      <c r="AW7" s="464">
        <f t="shared" si="1"/>
        <v>16212.84</v>
      </c>
      <c r="AX7" s="148">
        <v>1384.07</v>
      </c>
      <c r="AY7" s="652">
        <v>371.74</v>
      </c>
      <c r="AZ7" s="150">
        <f t="shared" si="2"/>
        <v>33455.07</v>
      </c>
      <c r="BA7" s="912">
        <f t="shared" si="3"/>
        <v>16584.580000000002</v>
      </c>
    </row>
    <row r="8" spans="1:53" x14ac:dyDescent="0.3">
      <c r="A8" s="144" t="s">
        <v>78</v>
      </c>
      <c r="B8" s="145">
        <v>2589</v>
      </c>
      <c r="C8" s="652">
        <v>2610</v>
      </c>
      <c r="D8" s="149">
        <v>70</v>
      </c>
      <c r="E8" s="652">
        <v>109</v>
      </c>
      <c r="F8" s="149">
        <v>1053</v>
      </c>
      <c r="G8" s="652">
        <v>1390</v>
      </c>
      <c r="H8" s="149">
        <v>1405</v>
      </c>
      <c r="I8" s="652">
        <v>1655</v>
      </c>
      <c r="J8" s="149">
        <v>1026</v>
      </c>
      <c r="K8" s="652">
        <v>1047</v>
      </c>
      <c r="L8" s="149">
        <v>484</v>
      </c>
      <c r="M8" s="652">
        <v>472</v>
      </c>
      <c r="N8" s="149">
        <v>952</v>
      </c>
      <c r="O8" s="652">
        <v>967</v>
      </c>
      <c r="P8" s="149">
        <v>642</v>
      </c>
      <c r="Q8" s="652">
        <v>813</v>
      </c>
      <c r="R8" s="149"/>
      <c r="S8" s="652">
        <v>442</v>
      </c>
      <c r="T8" s="149">
        <v>959</v>
      </c>
      <c r="U8" s="652">
        <v>1011</v>
      </c>
      <c r="V8" s="149">
        <v>6001</v>
      </c>
      <c r="W8" s="652">
        <v>5296</v>
      </c>
      <c r="X8" s="149">
        <v>3480</v>
      </c>
      <c r="Y8" s="652">
        <v>3345</v>
      </c>
      <c r="Z8" s="232">
        <v>401</v>
      </c>
      <c r="AA8" s="652">
        <v>411</v>
      </c>
      <c r="AB8" s="149">
        <v>2056</v>
      </c>
      <c r="AC8" s="652">
        <v>1113.8</v>
      </c>
      <c r="AD8" s="149">
        <v>2731</v>
      </c>
      <c r="AE8" s="652">
        <v>2630</v>
      </c>
      <c r="AF8" s="149">
        <v>4364</v>
      </c>
      <c r="AG8" s="652">
        <v>3911</v>
      </c>
      <c r="AH8" s="149">
        <v>1389</v>
      </c>
      <c r="AI8" s="652">
        <v>1094</v>
      </c>
      <c r="AJ8" s="149">
        <f>2532+1264</f>
        <v>3796</v>
      </c>
      <c r="AK8" s="652">
        <v>2406</v>
      </c>
      <c r="AL8" s="447"/>
      <c r="AM8" s="652"/>
      <c r="AN8" s="663">
        <v>4827</v>
      </c>
      <c r="AO8" s="661">
        <v>4524</v>
      </c>
      <c r="AP8" s="149">
        <v>784</v>
      </c>
      <c r="AQ8" s="652">
        <v>708</v>
      </c>
      <c r="AR8" s="148">
        <v>930</v>
      </c>
      <c r="AS8" s="652">
        <v>742</v>
      </c>
      <c r="AT8" s="149">
        <v>1702</v>
      </c>
      <c r="AU8" s="652">
        <v>1528</v>
      </c>
      <c r="AV8" s="464">
        <f t="shared" si="0"/>
        <v>41641</v>
      </c>
      <c r="AW8" s="464">
        <f t="shared" si="1"/>
        <v>38224.800000000003</v>
      </c>
      <c r="AX8" s="148">
        <v>32594.61</v>
      </c>
      <c r="AY8" s="652">
        <v>30970.82</v>
      </c>
      <c r="AZ8" s="150">
        <f t="shared" si="2"/>
        <v>74235.61</v>
      </c>
      <c r="BA8" s="912">
        <f t="shared" si="3"/>
        <v>69195.62</v>
      </c>
    </row>
    <row r="9" spans="1:53" x14ac:dyDescent="0.3">
      <c r="A9" s="144" t="s">
        <v>79</v>
      </c>
      <c r="B9" s="145">
        <v>1219</v>
      </c>
      <c r="C9" s="652">
        <v>1259</v>
      </c>
      <c r="D9" s="149">
        <v>2</v>
      </c>
      <c r="E9" s="652">
        <v>1</v>
      </c>
      <c r="F9" s="149">
        <v>569</v>
      </c>
      <c r="G9" s="652">
        <v>632</v>
      </c>
      <c r="H9" s="149">
        <v>373</v>
      </c>
      <c r="I9" s="652">
        <v>356</v>
      </c>
      <c r="J9" s="149">
        <v>183</v>
      </c>
      <c r="K9" s="652">
        <v>161</v>
      </c>
      <c r="L9" s="149">
        <v>109</v>
      </c>
      <c r="M9" s="652">
        <v>88</v>
      </c>
      <c r="N9" s="149">
        <v>292</v>
      </c>
      <c r="O9" s="652">
        <v>334</v>
      </c>
      <c r="P9" s="149">
        <v>496</v>
      </c>
      <c r="Q9" s="652">
        <v>469</v>
      </c>
      <c r="R9" s="149"/>
      <c r="S9" s="652">
        <v>82</v>
      </c>
      <c r="T9" s="149">
        <v>546</v>
      </c>
      <c r="U9" s="652">
        <v>467</v>
      </c>
      <c r="V9" s="149">
        <v>209</v>
      </c>
      <c r="W9" s="652">
        <v>82</v>
      </c>
      <c r="X9" s="149">
        <v>1828</v>
      </c>
      <c r="Y9" s="652">
        <v>1665</v>
      </c>
      <c r="Z9" s="149">
        <v>16</v>
      </c>
      <c r="AA9" s="652">
        <v>32</v>
      </c>
      <c r="AB9" s="149">
        <v>193</v>
      </c>
      <c r="AC9" s="652">
        <v>171.6</v>
      </c>
      <c r="AD9" s="149">
        <v>859</v>
      </c>
      <c r="AE9" s="652">
        <v>805</v>
      </c>
      <c r="AF9" s="149">
        <v>1866</v>
      </c>
      <c r="AG9" s="652">
        <v>1654</v>
      </c>
      <c r="AH9" s="149">
        <v>170</v>
      </c>
      <c r="AI9" s="652">
        <v>133</v>
      </c>
      <c r="AJ9" s="149">
        <v>216</v>
      </c>
      <c r="AK9" s="652">
        <f>1264+112</f>
        <v>1376</v>
      </c>
      <c r="AL9" s="447"/>
      <c r="AM9" s="652"/>
      <c r="AN9" s="663">
        <v>4500</v>
      </c>
      <c r="AO9" s="661">
        <v>4149</v>
      </c>
      <c r="AP9" s="149">
        <v>13.91</v>
      </c>
      <c r="AQ9" s="652">
        <v>11</v>
      </c>
      <c r="AR9" s="148">
        <v>808</v>
      </c>
      <c r="AS9" s="652">
        <v>681</v>
      </c>
      <c r="AT9" s="149">
        <v>1458</v>
      </c>
      <c r="AU9" s="652">
        <v>961</v>
      </c>
      <c r="AV9" s="464">
        <f t="shared" si="0"/>
        <v>15925.91</v>
      </c>
      <c r="AW9" s="464">
        <f t="shared" si="1"/>
        <v>15569.6</v>
      </c>
      <c r="AX9" s="148">
        <v>7057.59</v>
      </c>
      <c r="AY9" s="652">
        <v>4640.99</v>
      </c>
      <c r="AZ9" s="150">
        <f t="shared" si="2"/>
        <v>22983.5</v>
      </c>
      <c r="BA9" s="912">
        <f t="shared" si="3"/>
        <v>20210.59</v>
      </c>
    </row>
    <row r="10" spans="1:53" x14ac:dyDescent="0.3">
      <c r="A10" s="144" t="s">
        <v>80</v>
      </c>
      <c r="B10" s="145">
        <v>181</v>
      </c>
      <c r="C10" s="652">
        <v>151</v>
      </c>
      <c r="D10" s="149">
        <v>1</v>
      </c>
      <c r="E10" s="652">
        <v>17</v>
      </c>
      <c r="F10" s="149">
        <v>80</v>
      </c>
      <c r="G10" s="652">
        <v>71</v>
      </c>
      <c r="H10" s="149">
        <v>255</v>
      </c>
      <c r="I10" s="652">
        <v>131</v>
      </c>
      <c r="J10" s="149">
        <v>158</v>
      </c>
      <c r="K10" s="652">
        <v>177</v>
      </c>
      <c r="L10" s="149">
        <v>114</v>
      </c>
      <c r="M10" s="652">
        <v>128</v>
      </c>
      <c r="N10" s="149">
        <v>22</v>
      </c>
      <c r="O10" s="652">
        <v>15</v>
      </c>
      <c r="P10" s="149">
        <v>88</v>
      </c>
      <c r="Q10" s="652">
        <v>77</v>
      </c>
      <c r="R10" s="149"/>
      <c r="S10" s="652">
        <v>138</v>
      </c>
      <c r="T10" s="149">
        <v>42</v>
      </c>
      <c r="U10" s="652">
        <v>35</v>
      </c>
      <c r="V10" s="149">
        <v>755</v>
      </c>
      <c r="W10" s="652">
        <v>478</v>
      </c>
      <c r="X10" s="149">
        <v>253</v>
      </c>
      <c r="Y10" s="652">
        <v>263</v>
      </c>
      <c r="Z10" s="149">
        <v>113</v>
      </c>
      <c r="AA10" s="652">
        <v>95</v>
      </c>
      <c r="AB10" s="149">
        <v>166</v>
      </c>
      <c r="AC10" s="652">
        <v>117</v>
      </c>
      <c r="AD10" s="149">
        <v>191</v>
      </c>
      <c r="AE10" s="652">
        <v>232</v>
      </c>
      <c r="AF10" s="149">
        <v>499</v>
      </c>
      <c r="AG10" s="652">
        <v>262</v>
      </c>
      <c r="AH10" s="149">
        <v>361</v>
      </c>
      <c r="AI10" s="652">
        <v>164</v>
      </c>
      <c r="AJ10" s="149">
        <v>120</v>
      </c>
      <c r="AK10" s="652">
        <v>199</v>
      </c>
      <c r="AL10" s="447"/>
      <c r="AM10" s="652"/>
      <c r="AN10" s="663">
        <v>546</v>
      </c>
      <c r="AO10" s="661">
        <v>503</v>
      </c>
      <c r="AP10" s="149">
        <v>182</v>
      </c>
      <c r="AQ10" s="652">
        <v>154</v>
      </c>
      <c r="AR10" s="148">
        <v>129</v>
      </c>
      <c r="AS10" s="652">
        <v>64</v>
      </c>
      <c r="AT10" s="149">
        <v>393</v>
      </c>
      <c r="AU10" s="652">
        <v>201</v>
      </c>
      <c r="AV10" s="464">
        <f t="shared" si="0"/>
        <v>4649</v>
      </c>
      <c r="AW10" s="464">
        <f t="shared" si="1"/>
        <v>3672</v>
      </c>
      <c r="AX10" s="149">
        <v>9348.1</v>
      </c>
      <c r="AY10" s="652">
        <v>9396.2000000000007</v>
      </c>
      <c r="AZ10" s="150">
        <f t="shared" si="2"/>
        <v>13997.1</v>
      </c>
      <c r="BA10" s="912">
        <f t="shared" si="3"/>
        <v>13068.2</v>
      </c>
    </row>
    <row r="11" spans="1:53" x14ac:dyDescent="0.3">
      <c r="A11" s="144" t="s">
        <v>81</v>
      </c>
      <c r="B11" s="145">
        <v>571</v>
      </c>
      <c r="C11" s="652">
        <v>482</v>
      </c>
      <c r="D11" s="149">
        <v>95</v>
      </c>
      <c r="E11" s="652">
        <v>52</v>
      </c>
      <c r="F11" s="149">
        <v>216</v>
      </c>
      <c r="G11" s="652">
        <v>226</v>
      </c>
      <c r="H11" s="149">
        <v>1844</v>
      </c>
      <c r="I11" s="652">
        <v>2284</v>
      </c>
      <c r="J11" s="149">
        <v>67</v>
      </c>
      <c r="K11" s="652">
        <v>193</v>
      </c>
      <c r="L11" s="149">
        <v>2038</v>
      </c>
      <c r="M11" s="652">
        <v>1561</v>
      </c>
      <c r="N11" s="149">
        <v>158</v>
      </c>
      <c r="O11" s="652">
        <v>134</v>
      </c>
      <c r="P11" s="149">
        <v>159</v>
      </c>
      <c r="Q11" s="652">
        <v>116</v>
      </c>
      <c r="R11" s="149"/>
      <c r="S11" s="652">
        <v>393</v>
      </c>
      <c r="T11" s="149">
        <v>207</v>
      </c>
      <c r="U11" s="652">
        <v>195</v>
      </c>
      <c r="V11" s="149">
        <v>1797</v>
      </c>
      <c r="W11" s="652">
        <v>924</v>
      </c>
      <c r="X11" s="149">
        <v>7099</v>
      </c>
      <c r="Y11" s="652">
        <v>5075</v>
      </c>
      <c r="Z11" s="149">
        <v>154</v>
      </c>
      <c r="AA11" s="652">
        <v>202</v>
      </c>
      <c r="AB11" s="149">
        <v>675</v>
      </c>
      <c r="AC11" s="652">
        <v>582</v>
      </c>
      <c r="AD11" s="490">
        <v>457</v>
      </c>
      <c r="AE11" s="652">
        <v>579</v>
      </c>
      <c r="AF11" s="149">
        <v>3006</v>
      </c>
      <c r="AG11" s="652">
        <v>2909</v>
      </c>
      <c r="AH11" s="149">
        <v>397</v>
      </c>
      <c r="AI11" s="652">
        <v>508</v>
      </c>
      <c r="AJ11" s="149">
        <v>395</v>
      </c>
      <c r="AK11" s="652">
        <v>463</v>
      </c>
      <c r="AL11" s="447"/>
      <c r="AM11" s="652"/>
      <c r="AN11" s="663">
        <v>3087</v>
      </c>
      <c r="AO11" s="661">
        <v>2786</v>
      </c>
      <c r="AP11" s="149">
        <v>326.64</v>
      </c>
      <c r="AQ11" s="652">
        <v>356</v>
      </c>
      <c r="AR11" s="148">
        <v>204</v>
      </c>
      <c r="AS11" s="652">
        <v>139</v>
      </c>
      <c r="AT11" s="149">
        <v>1239</v>
      </c>
      <c r="AU11" s="652">
        <v>1181</v>
      </c>
      <c r="AV11" s="464">
        <f t="shared" si="0"/>
        <v>24191.64</v>
      </c>
      <c r="AW11" s="464">
        <f t="shared" si="1"/>
        <v>21340</v>
      </c>
      <c r="AX11" s="148">
        <v>10303.32</v>
      </c>
      <c r="AY11" s="652">
        <v>9668.7000000000007</v>
      </c>
      <c r="AZ11" s="150">
        <f t="shared" si="2"/>
        <v>34494.959999999999</v>
      </c>
      <c r="BA11" s="912">
        <f t="shared" si="3"/>
        <v>31008.7</v>
      </c>
    </row>
    <row r="12" spans="1:53" x14ac:dyDescent="0.3">
      <c r="A12" s="144" t="s">
        <v>82</v>
      </c>
      <c r="B12" s="145">
        <v>516</v>
      </c>
      <c r="C12" s="652">
        <v>446</v>
      </c>
      <c r="D12" s="149">
        <v>105</v>
      </c>
      <c r="E12" s="652">
        <v>152</v>
      </c>
      <c r="F12" s="149">
        <v>185</v>
      </c>
      <c r="G12" s="652">
        <v>371</v>
      </c>
      <c r="H12" s="149">
        <v>5713</v>
      </c>
      <c r="I12" s="652">
        <v>4031</v>
      </c>
      <c r="J12" s="149">
        <v>1881</v>
      </c>
      <c r="K12" s="652">
        <v>1764</v>
      </c>
      <c r="L12" s="149">
        <v>1265</v>
      </c>
      <c r="M12" s="652">
        <v>839</v>
      </c>
      <c r="N12" s="149">
        <v>423</v>
      </c>
      <c r="O12" s="652">
        <v>445</v>
      </c>
      <c r="P12" s="149">
        <v>869</v>
      </c>
      <c r="Q12" s="652">
        <v>539</v>
      </c>
      <c r="R12" s="149"/>
      <c r="S12" s="652">
        <v>2914</v>
      </c>
      <c r="T12" s="149">
        <v>473</v>
      </c>
      <c r="U12" s="652">
        <v>333</v>
      </c>
      <c r="V12" s="149">
        <v>8512</v>
      </c>
      <c r="W12" s="652">
        <v>8921</v>
      </c>
      <c r="X12" s="149">
        <v>17555</v>
      </c>
      <c r="Y12" s="652">
        <v>11568</v>
      </c>
      <c r="Z12" s="149">
        <v>1276</v>
      </c>
      <c r="AA12" s="652">
        <v>1496</v>
      </c>
      <c r="AB12" s="149">
        <v>669</v>
      </c>
      <c r="AC12" s="652">
        <v>454.8</v>
      </c>
      <c r="AD12" s="149">
        <v>959</v>
      </c>
      <c r="AE12" s="652">
        <v>1512</v>
      </c>
      <c r="AF12" s="149">
        <v>2777</v>
      </c>
      <c r="AG12" s="652">
        <v>1713</v>
      </c>
      <c r="AH12" s="149">
        <v>1063</v>
      </c>
      <c r="AI12" s="652">
        <v>744</v>
      </c>
      <c r="AJ12" s="149">
        <v>1262</v>
      </c>
      <c r="AK12" s="652">
        <v>1181</v>
      </c>
      <c r="AL12" s="447"/>
      <c r="AM12" s="652"/>
      <c r="AN12" s="663">
        <v>6590</v>
      </c>
      <c r="AO12" s="661">
        <v>6106</v>
      </c>
      <c r="AP12" s="149">
        <v>1057.42</v>
      </c>
      <c r="AQ12" s="652">
        <v>1419</v>
      </c>
      <c r="AR12" s="148">
        <v>598</v>
      </c>
      <c r="AS12" s="652">
        <v>428</v>
      </c>
      <c r="AT12" s="149">
        <v>18282</v>
      </c>
      <c r="AU12" s="652">
        <v>13949</v>
      </c>
      <c r="AV12" s="464">
        <f t="shared" si="0"/>
        <v>72030.42</v>
      </c>
      <c r="AW12" s="464">
        <f t="shared" si="1"/>
        <v>61325.8</v>
      </c>
      <c r="AX12" s="148">
        <v>1210.3699999999999</v>
      </c>
      <c r="AY12" s="652">
        <v>872.2</v>
      </c>
      <c r="AZ12" s="150">
        <f t="shared" si="2"/>
        <v>73240.789999999994</v>
      </c>
      <c r="BA12" s="912">
        <f t="shared" si="3"/>
        <v>62198</v>
      </c>
    </row>
    <row r="13" spans="1:53" x14ac:dyDescent="0.3">
      <c r="A13" s="144" t="s">
        <v>83</v>
      </c>
      <c r="B13" s="145">
        <v>456</v>
      </c>
      <c r="C13" s="652">
        <v>679</v>
      </c>
      <c r="D13" s="149">
        <v>5</v>
      </c>
      <c r="E13" s="652">
        <v>189</v>
      </c>
      <c r="F13" s="149">
        <v>23</v>
      </c>
      <c r="G13" s="652">
        <v>38</v>
      </c>
      <c r="H13" s="149">
        <v>751</v>
      </c>
      <c r="I13" s="652">
        <v>838</v>
      </c>
      <c r="J13" s="149">
        <v>121</v>
      </c>
      <c r="K13" s="652">
        <v>199</v>
      </c>
      <c r="L13" s="149">
        <v>183</v>
      </c>
      <c r="M13" s="652">
        <v>251</v>
      </c>
      <c r="N13" s="149">
        <v>65</v>
      </c>
      <c r="O13" s="652">
        <v>38</v>
      </c>
      <c r="P13" s="149">
        <v>66</v>
      </c>
      <c r="Q13" s="652">
        <v>102</v>
      </c>
      <c r="R13" s="149"/>
      <c r="S13" s="652">
        <v>186</v>
      </c>
      <c r="T13" s="149">
        <v>35</v>
      </c>
      <c r="U13" s="652">
        <v>48</v>
      </c>
      <c r="V13" s="149">
        <v>860</v>
      </c>
      <c r="W13" s="652">
        <v>1205</v>
      </c>
      <c r="X13" s="149">
        <v>1518</v>
      </c>
      <c r="Y13" s="652">
        <v>1955</v>
      </c>
      <c r="Z13" s="149">
        <v>49</v>
      </c>
      <c r="AA13" s="652">
        <v>40</v>
      </c>
      <c r="AB13" s="149">
        <v>432</v>
      </c>
      <c r="AC13" s="652">
        <v>111.5</v>
      </c>
      <c r="AD13" s="149">
        <v>476</v>
      </c>
      <c r="AE13" s="652">
        <v>436</v>
      </c>
      <c r="AF13" s="149">
        <v>2351</v>
      </c>
      <c r="AG13" s="652">
        <v>2415</v>
      </c>
      <c r="AH13" s="149">
        <v>665</v>
      </c>
      <c r="AI13" s="652">
        <v>392</v>
      </c>
      <c r="AJ13" s="149">
        <v>51</v>
      </c>
      <c r="AK13" s="652">
        <v>64</v>
      </c>
      <c r="AL13" s="447"/>
      <c r="AM13" s="652"/>
      <c r="AN13" s="663">
        <v>2939</v>
      </c>
      <c r="AO13" s="661">
        <v>1944</v>
      </c>
      <c r="AP13" s="149">
        <v>32.700000000000003</v>
      </c>
      <c r="AQ13" s="652">
        <v>21</v>
      </c>
      <c r="AR13" s="148">
        <v>89</v>
      </c>
      <c r="AS13" s="652">
        <v>131</v>
      </c>
      <c r="AT13" s="149">
        <v>1251</v>
      </c>
      <c r="AU13" s="652">
        <v>1953</v>
      </c>
      <c r="AV13" s="464">
        <f t="shared" si="0"/>
        <v>12418.7</v>
      </c>
      <c r="AW13" s="464">
        <f t="shared" si="1"/>
        <v>13235.5</v>
      </c>
      <c r="AX13" s="148">
        <v>2825.91</v>
      </c>
      <c r="AY13" s="652">
        <v>2407.9899999999998</v>
      </c>
      <c r="AZ13" s="150">
        <f t="shared" si="2"/>
        <v>15244.61</v>
      </c>
      <c r="BA13" s="912">
        <f t="shared" si="3"/>
        <v>15643.49</v>
      </c>
    </row>
    <row r="14" spans="1:53" x14ac:dyDescent="0.3">
      <c r="A14" s="144" t="s">
        <v>84</v>
      </c>
      <c r="B14" s="145"/>
      <c r="C14" s="652"/>
      <c r="D14" s="149"/>
      <c r="E14" s="652"/>
      <c r="F14" s="149"/>
      <c r="G14" s="652"/>
      <c r="H14" s="149"/>
      <c r="I14" s="652"/>
      <c r="J14" s="149"/>
      <c r="K14" s="652"/>
      <c r="L14" s="149"/>
      <c r="M14" s="652"/>
      <c r="N14" s="149"/>
      <c r="O14" s="652"/>
      <c r="P14" s="149"/>
      <c r="Q14" s="652"/>
      <c r="R14" s="149"/>
      <c r="S14" s="652"/>
      <c r="T14" s="149"/>
      <c r="U14" s="652"/>
      <c r="V14" s="149"/>
      <c r="W14" s="652"/>
      <c r="X14" s="149"/>
      <c r="Y14" s="652"/>
      <c r="Z14" s="149"/>
      <c r="AA14" s="652"/>
      <c r="AB14" s="149"/>
      <c r="AC14" s="652"/>
      <c r="AD14" s="149"/>
      <c r="AE14" s="652"/>
      <c r="AF14" s="149"/>
      <c r="AG14" s="652"/>
      <c r="AH14" s="149"/>
      <c r="AI14" s="652"/>
      <c r="AJ14" s="149"/>
      <c r="AK14" s="652"/>
      <c r="AL14" s="447"/>
      <c r="AM14" s="652"/>
      <c r="AN14" s="149"/>
      <c r="AO14" s="661"/>
      <c r="AP14" s="149"/>
      <c r="AQ14" s="652"/>
      <c r="AR14" s="148"/>
      <c r="AS14" s="652"/>
      <c r="AT14" s="149"/>
      <c r="AU14" s="652"/>
      <c r="AV14" s="464">
        <f t="shared" si="0"/>
        <v>0</v>
      </c>
      <c r="AW14" s="464">
        <f t="shared" si="1"/>
        <v>0</v>
      </c>
      <c r="AX14" s="148"/>
      <c r="AY14" s="652"/>
      <c r="AZ14" s="150">
        <f t="shared" si="2"/>
        <v>0</v>
      </c>
      <c r="BA14" s="912">
        <f t="shared" si="3"/>
        <v>0</v>
      </c>
    </row>
    <row r="15" spans="1:53" x14ac:dyDescent="0.3">
      <c r="A15" s="144" t="s">
        <v>85</v>
      </c>
      <c r="B15" s="145">
        <v>59</v>
      </c>
      <c r="C15" s="652">
        <v>47</v>
      </c>
      <c r="D15" s="149">
        <v>19</v>
      </c>
      <c r="E15" s="652">
        <v>19</v>
      </c>
      <c r="F15" s="149">
        <v>33</v>
      </c>
      <c r="G15" s="652">
        <v>26</v>
      </c>
      <c r="H15" s="149">
        <v>53</v>
      </c>
      <c r="I15" s="652">
        <v>53</v>
      </c>
      <c r="J15" s="149">
        <v>38</v>
      </c>
      <c r="K15" s="652">
        <v>31</v>
      </c>
      <c r="L15" s="149">
        <v>12</v>
      </c>
      <c r="M15" s="652">
        <v>12</v>
      </c>
      <c r="N15" s="149">
        <v>18</v>
      </c>
      <c r="O15" s="652">
        <v>18</v>
      </c>
      <c r="P15" s="149">
        <v>17</v>
      </c>
      <c r="Q15" s="652">
        <v>14</v>
      </c>
      <c r="R15" s="149"/>
      <c r="S15" s="652">
        <v>26</v>
      </c>
      <c r="T15" s="149">
        <v>23</v>
      </c>
      <c r="U15" s="652">
        <v>19</v>
      </c>
      <c r="V15" s="149">
        <v>48</v>
      </c>
      <c r="W15" s="652">
        <v>48</v>
      </c>
      <c r="X15" s="149">
        <v>129</v>
      </c>
      <c r="Y15" s="652">
        <v>112</v>
      </c>
      <c r="Z15" s="232">
        <v>24</v>
      </c>
      <c r="AA15" s="652">
        <v>20</v>
      </c>
      <c r="AB15" s="149">
        <v>17</v>
      </c>
      <c r="AC15" s="652">
        <v>18.399999999999999</v>
      </c>
      <c r="AD15" s="490">
        <v>43</v>
      </c>
      <c r="AE15" s="652">
        <v>39</v>
      </c>
      <c r="AF15" s="149">
        <v>49</v>
      </c>
      <c r="AG15" s="652">
        <v>49</v>
      </c>
      <c r="AH15" s="149">
        <v>40</v>
      </c>
      <c r="AI15" s="652">
        <v>38</v>
      </c>
      <c r="AJ15" s="149">
        <v>38</v>
      </c>
      <c r="AK15" s="652">
        <v>39</v>
      </c>
      <c r="AL15" s="447"/>
      <c r="AM15" s="652"/>
      <c r="AN15" s="663">
        <v>44</v>
      </c>
      <c r="AO15" s="661">
        <v>44</v>
      </c>
      <c r="AP15" s="149">
        <v>8</v>
      </c>
      <c r="AQ15" s="652">
        <v>8</v>
      </c>
      <c r="AR15" s="148">
        <v>31</v>
      </c>
      <c r="AS15" s="652">
        <v>19</v>
      </c>
      <c r="AT15" s="149">
        <v>40</v>
      </c>
      <c r="AU15" s="652">
        <v>48</v>
      </c>
      <c r="AV15" s="464">
        <f t="shared" si="0"/>
        <v>783</v>
      </c>
      <c r="AW15" s="464">
        <f t="shared" si="1"/>
        <v>747.4</v>
      </c>
      <c r="AX15" s="149">
        <v>344.08</v>
      </c>
      <c r="AY15" s="652">
        <v>458.79</v>
      </c>
      <c r="AZ15" s="150">
        <f t="shared" si="2"/>
        <v>1127.08</v>
      </c>
      <c r="BA15" s="912">
        <f t="shared" si="3"/>
        <v>1206.19</v>
      </c>
    </row>
    <row r="16" spans="1:53" x14ac:dyDescent="0.3">
      <c r="A16" s="144" t="s">
        <v>86</v>
      </c>
      <c r="B16" s="145"/>
      <c r="C16" s="652"/>
      <c r="D16" s="149"/>
      <c r="E16" s="652"/>
      <c r="F16" s="149"/>
      <c r="G16" s="652"/>
      <c r="H16" s="149"/>
      <c r="I16" s="652"/>
      <c r="J16" s="149"/>
      <c r="K16" s="652"/>
      <c r="L16" s="149"/>
      <c r="M16" s="652"/>
      <c r="N16" s="149"/>
      <c r="O16" s="652"/>
      <c r="P16" s="149"/>
      <c r="Q16" s="652"/>
      <c r="R16" s="149"/>
      <c r="S16" s="652"/>
      <c r="T16" s="149"/>
      <c r="U16" s="652"/>
      <c r="V16" s="149"/>
      <c r="W16" s="652"/>
      <c r="X16" s="149"/>
      <c r="Y16" s="652"/>
      <c r="Z16" s="232"/>
      <c r="AA16" s="652"/>
      <c r="AB16" s="149"/>
      <c r="AC16" s="652"/>
      <c r="AD16" s="149"/>
      <c r="AE16" s="652"/>
      <c r="AF16" s="149"/>
      <c r="AG16" s="652"/>
      <c r="AH16" s="149"/>
      <c r="AI16" s="652"/>
      <c r="AJ16" s="149"/>
      <c r="AK16" s="652"/>
      <c r="AL16" s="447"/>
      <c r="AM16" s="652"/>
      <c r="AN16" s="663"/>
      <c r="AO16" s="661"/>
      <c r="AP16" s="149"/>
      <c r="AQ16" s="652"/>
      <c r="AR16" s="148"/>
      <c r="AS16" s="652"/>
      <c r="AT16" s="149"/>
      <c r="AU16" s="652"/>
      <c r="AV16" s="464">
        <f t="shared" si="0"/>
        <v>0</v>
      </c>
      <c r="AW16" s="464">
        <f t="shared" si="1"/>
        <v>0</v>
      </c>
      <c r="AX16" s="149"/>
      <c r="AY16" s="652"/>
      <c r="AZ16" s="150">
        <f t="shared" si="2"/>
        <v>0</v>
      </c>
      <c r="BA16" s="912">
        <f t="shared" si="3"/>
        <v>0</v>
      </c>
    </row>
    <row r="17" spans="1:53" x14ac:dyDescent="0.3">
      <c r="A17" s="144" t="s">
        <v>87</v>
      </c>
      <c r="B17" s="145"/>
      <c r="C17" s="652"/>
      <c r="D17" s="149"/>
      <c r="E17" s="652"/>
      <c r="F17" s="149"/>
      <c r="G17" s="652"/>
      <c r="H17" s="149"/>
      <c r="I17" s="652"/>
      <c r="J17" s="149"/>
      <c r="K17" s="652"/>
      <c r="L17" s="149"/>
      <c r="M17" s="652"/>
      <c r="N17" s="149"/>
      <c r="O17" s="652"/>
      <c r="P17" s="149"/>
      <c r="Q17" s="652"/>
      <c r="R17" s="149"/>
      <c r="S17" s="652"/>
      <c r="T17" s="149"/>
      <c r="U17" s="652"/>
      <c r="V17" s="149"/>
      <c r="W17" s="652">
        <v>1</v>
      </c>
      <c r="X17" s="149"/>
      <c r="Y17" s="652"/>
      <c r="Z17" s="232"/>
      <c r="AA17" s="652"/>
      <c r="AB17" s="149"/>
      <c r="AC17" s="652"/>
      <c r="AD17" s="149"/>
      <c r="AE17" s="652"/>
      <c r="AF17" s="149">
        <v>2</v>
      </c>
      <c r="AG17" s="652">
        <v>2</v>
      </c>
      <c r="AH17" s="149"/>
      <c r="AI17" s="652"/>
      <c r="AJ17" s="149"/>
      <c r="AK17" s="652"/>
      <c r="AL17" s="447"/>
      <c r="AM17" s="652"/>
      <c r="AN17" s="663"/>
      <c r="AO17" s="661"/>
      <c r="AP17" s="149"/>
      <c r="AQ17" s="652"/>
      <c r="AR17" s="148"/>
      <c r="AS17" s="652"/>
      <c r="AT17" s="149"/>
      <c r="AU17" s="652"/>
      <c r="AV17" s="464">
        <f t="shared" si="0"/>
        <v>2</v>
      </c>
      <c r="AW17" s="464">
        <f t="shared" si="1"/>
        <v>3</v>
      </c>
      <c r="AX17" s="149"/>
      <c r="AY17" s="652">
        <v>7.0000000000000007E-2</v>
      </c>
      <c r="AZ17" s="150">
        <f t="shared" si="2"/>
        <v>2</v>
      </c>
      <c r="BA17" s="912">
        <f t="shared" si="3"/>
        <v>3.07</v>
      </c>
    </row>
    <row r="18" spans="1:53" x14ac:dyDescent="0.3">
      <c r="A18" s="144" t="s">
        <v>88</v>
      </c>
      <c r="B18" s="145"/>
      <c r="C18" s="652"/>
      <c r="D18" s="149"/>
      <c r="E18" s="652"/>
      <c r="F18" s="149"/>
      <c r="G18" s="652"/>
      <c r="H18" s="149"/>
      <c r="I18" s="652"/>
      <c r="J18" s="149"/>
      <c r="K18" s="652"/>
      <c r="L18" s="149"/>
      <c r="M18" s="652"/>
      <c r="N18" s="149"/>
      <c r="O18" s="652"/>
      <c r="P18" s="149"/>
      <c r="Q18" s="652"/>
      <c r="R18" s="149"/>
      <c r="S18" s="652"/>
      <c r="T18" s="149"/>
      <c r="U18" s="652"/>
      <c r="V18" s="149"/>
      <c r="W18" s="652"/>
      <c r="X18" s="149"/>
      <c r="Y18" s="652"/>
      <c r="Z18" s="232"/>
      <c r="AA18" s="652"/>
      <c r="AB18" s="149"/>
      <c r="AC18" s="652"/>
      <c r="AD18" s="149"/>
      <c r="AE18" s="652"/>
      <c r="AF18" s="149"/>
      <c r="AG18" s="652"/>
      <c r="AH18" s="149"/>
      <c r="AI18" s="652"/>
      <c r="AJ18" s="149"/>
      <c r="AK18" s="652"/>
      <c r="AL18" s="447"/>
      <c r="AM18" s="652"/>
      <c r="AN18" s="663"/>
      <c r="AO18" s="661"/>
      <c r="AP18" s="149"/>
      <c r="AQ18" s="652"/>
      <c r="AR18" s="148"/>
      <c r="AS18" s="652"/>
      <c r="AT18" s="149"/>
      <c r="AU18" s="652"/>
      <c r="AV18" s="464">
        <f t="shared" si="0"/>
        <v>0</v>
      </c>
      <c r="AW18" s="464">
        <f t="shared" si="1"/>
        <v>0</v>
      </c>
      <c r="AX18" s="149"/>
      <c r="AY18" s="652"/>
      <c r="AZ18" s="150">
        <f t="shared" si="2"/>
        <v>0</v>
      </c>
      <c r="BA18" s="912">
        <f t="shared" si="3"/>
        <v>0</v>
      </c>
    </row>
    <row r="19" spans="1:53" x14ac:dyDescent="0.3">
      <c r="A19" s="144" t="s">
        <v>89</v>
      </c>
      <c r="B19" s="145">
        <v>6</v>
      </c>
      <c r="C19" s="652">
        <v>4</v>
      </c>
      <c r="D19" s="149"/>
      <c r="E19" s="652"/>
      <c r="F19" s="149"/>
      <c r="G19" s="652"/>
      <c r="H19" s="149"/>
      <c r="I19" s="652"/>
      <c r="J19" s="149"/>
      <c r="K19" s="652"/>
      <c r="L19" s="149"/>
      <c r="M19" s="652"/>
      <c r="N19" s="149"/>
      <c r="O19" s="652"/>
      <c r="P19" s="149"/>
      <c r="Q19" s="652"/>
      <c r="R19" s="149"/>
      <c r="S19" s="652"/>
      <c r="T19" s="149"/>
      <c r="U19" s="652"/>
      <c r="V19" s="149"/>
      <c r="W19" s="652"/>
      <c r="X19" s="149"/>
      <c r="Y19" s="652"/>
      <c r="Z19" s="232"/>
      <c r="AA19" s="652"/>
      <c r="AB19" s="149"/>
      <c r="AC19" s="652"/>
      <c r="AD19" s="149"/>
      <c r="AE19" s="652"/>
      <c r="AF19" s="149"/>
      <c r="AG19" s="652"/>
      <c r="AH19" s="149"/>
      <c r="AI19" s="652"/>
      <c r="AJ19" s="149"/>
      <c r="AK19" s="652"/>
      <c r="AL19" s="447"/>
      <c r="AM19" s="652"/>
      <c r="AN19" s="663"/>
      <c r="AO19" s="661"/>
      <c r="AP19" s="149"/>
      <c r="AQ19" s="652"/>
      <c r="AR19" s="148"/>
      <c r="AS19" s="652"/>
      <c r="AT19" s="149"/>
      <c r="AU19" s="652"/>
      <c r="AV19" s="464">
        <f t="shared" si="0"/>
        <v>6</v>
      </c>
      <c r="AW19" s="464">
        <f t="shared" si="1"/>
        <v>4</v>
      </c>
      <c r="AX19" s="149"/>
      <c r="AY19" s="652"/>
      <c r="AZ19" s="150">
        <f t="shared" si="2"/>
        <v>6</v>
      </c>
      <c r="BA19" s="912">
        <f t="shared" si="3"/>
        <v>4</v>
      </c>
    </row>
    <row r="20" spans="1:53" x14ac:dyDescent="0.3">
      <c r="A20" s="144" t="s">
        <v>90</v>
      </c>
      <c r="B20" s="145"/>
      <c r="C20" s="652"/>
      <c r="D20" s="149"/>
      <c r="E20" s="652">
        <v>1</v>
      </c>
      <c r="F20" s="149">
        <v>3</v>
      </c>
      <c r="G20" s="652">
        <v>3</v>
      </c>
      <c r="H20" s="149">
        <v>5</v>
      </c>
      <c r="I20" s="652">
        <v>6</v>
      </c>
      <c r="J20" s="149"/>
      <c r="K20" s="652">
        <v>1</v>
      </c>
      <c r="L20" s="149">
        <v>9</v>
      </c>
      <c r="M20" s="652">
        <v>9</v>
      </c>
      <c r="N20" s="149">
        <v>9</v>
      </c>
      <c r="O20" s="652">
        <v>9</v>
      </c>
      <c r="P20" s="149">
        <v>2</v>
      </c>
      <c r="Q20" s="652">
        <v>4</v>
      </c>
      <c r="R20" s="149"/>
      <c r="S20" s="652">
        <v>8</v>
      </c>
      <c r="T20" s="149">
        <v>1</v>
      </c>
      <c r="U20" s="652">
        <v>4</v>
      </c>
      <c r="V20" s="149">
        <v>15</v>
      </c>
      <c r="W20" s="652">
        <v>7</v>
      </c>
      <c r="X20" s="149"/>
      <c r="Y20" s="652"/>
      <c r="Z20" s="232">
        <v>3</v>
      </c>
      <c r="AA20" s="652">
        <v>3</v>
      </c>
      <c r="AB20" s="149">
        <v>3</v>
      </c>
      <c r="AC20" s="652">
        <v>5.63</v>
      </c>
      <c r="AD20" s="490">
        <v>7</v>
      </c>
      <c r="AE20" s="652">
        <v>7</v>
      </c>
      <c r="AF20" s="149">
        <v>33</v>
      </c>
      <c r="AG20" s="652">
        <v>30</v>
      </c>
      <c r="AH20" s="659">
        <v>3</v>
      </c>
      <c r="AI20" s="652">
        <v>8</v>
      </c>
      <c r="AJ20" s="149">
        <v>13</v>
      </c>
      <c r="AK20" s="652">
        <v>9</v>
      </c>
      <c r="AL20" s="447"/>
      <c r="AM20" s="652"/>
      <c r="AN20" s="663">
        <v>12</v>
      </c>
      <c r="AO20" s="661">
        <v>10</v>
      </c>
      <c r="AP20" s="149"/>
      <c r="AQ20" s="652"/>
      <c r="AR20" s="148"/>
      <c r="AS20" s="652"/>
      <c r="AT20" s="149">
        <v>3</v>
      </c>
      <c r="AU20" s="652">
        <v>3</v>
      </c>
      <c r="AV20" s="464">
        <f t="shared" si="0"/>
        <v>121</v>
      </c>
      <c r="AW20" s="464">
        <f t="shared" si="1"/>
        <v>127.63</v>
      </c>
      <c r="AX20" s="149"/>
      <c r="AY20" s="652">
        <v>3.95</v>
      </c>
      <c r="AZ20" s="150">
        <f t="shared" si="2"/>
        <v>121</v>
      </c>
      <c r="BA20" s="912">
        <f t="shared" si="3"/>
        <v>131.57999999999998</v>
      </c>
    </row>
    <row r="21" spans="1:53" ht="17.25" x14ac:dyDescent="0.35">
      <c r="A21" s="144" t="s">
        <v>91</v>
      </c>
      <c r="B21" s="145"/>
      <c r="C21" s="652"/>
      <c r="D21" s="149"/>
      <c r="E21" s="652">
        <v>1</v>
      </c>
      <c r="F21" s="149"/>
      <c r="G21" s="652"/>
      <c r="H21" s="149">
        <v>1</v>
      </c>
      <c r="I21" s="652">
        <v>2</v>
      </c>
      <c r="J21" s="149"/>
      <c r="K21" s="652"/>
      <c r="L21" s="149"/>
      <c r="M21" s="652"/>
      <c r="N21" s="149">
        <v>1</v>
      </c>
      <c r="O21" s="652">
        <v>1</v>
      </c>
      <c r="P21" s="149">
        <v>3</v>
      </c>
      <c r="Q21" s="652">
        <v>1</v>
      </c>
      <c r="R21" s="149"/>
      <c r="S21" s="652">
        <v>2</v>
      </c>
      <c r="T21" s="149"/>
      <c r="U21" s="652"/>
      <c r="V21" s="149"/>
      <c r="W21" s="652"/>
      <c r="X21" s="149"/>
      <c r="Y21" s="652"/>
      <c r="Z21" s="232"/>
      <c r="AA21" s="652"/>
      <c r="AB21" s="149"/>
      <c r="AC21" s="652"/>
      <c r="AD21" s="149"/>
      <c r="AE21" s="652"/>
      <c r="AF21" s="149">
        <v>8</v>
      </c>
      <c r="AG21" s="652">
        <v>8</v>
      </c>
      <c r="AH21" s="151"/>
      <c r="AI21" s="652"/>
      <c r="AJ21" s="149"/>
      <c r="AK21" s="652"/>
      <c r="AL21" s="447"/>
      <c r="AM21" s="652"/>
      <c r="AN21" s="663">
        <v>1</v>
      </c>
      <c r="AO21" s="661"/>
      <c r="AP21" s="149"/>
      <c r="AQ21" s="652"/>
      <c r="AR21" s="148"/>
      <c r="AS21" s="652"/>
      <c r="AT21" s="149"/>
      <c r="AU21" s="652"/>
      <c r="AV21" s="464">
        <f t="shared" si="0"/>
        <v>14</v>
      </c>
      <c r="AW21" s="464">
        <f t="shared" si="1"/>
        <v>15</v>
      </c>
      <c r="AX21" s="148"/>
      <c r="AY21" s="652"/>
      <c r="AZ21" s="150">
        <f t="shared" si="2"/>
        <v>14</v>
      </c>
      <c r="BA21" s="912">
        <f t="shared" si="3"/>
        <v>15</v>
      </c>
    </row>
    <row r="22" spans="1:53" x14ac:dyDescent="0.3">
      <c r="A22" s="144" t="s">
        <v>92</v>
      </c>
      <c r="B22" s="145">
        <v>24337</v>
      </c>
      <c r="C22" s="652">
        <v>14931</v>
      </c>
      <c r="D22" s="149">
        <v>87</v>
      </c>
      <c r="E22" s="652">
        <v>662</v>
      </c>
      <c r="F22" s="149">
        <v>1077</v>
      </c>
      <c r="G22" s="652">
        <v>547</v>
      </c>
      <c r="H22" s="149">
        <v>22041</v>
      </c>
      <c r="I22" s="652">
        <v>12739</v>
      </c>
      <c r="J22" s="149">
        <v>11081</v>
      </c>
      <c r="K22" s="652">
        <v>7661</v>
      </c>
      <c r="L22" s="149">
        <v>3373</v>
      </c>
      <c r="M22" s="652">
        <v>918</v>
      </c>
      <c r="N22" s="149">
        <v>216</v>
      </c>
      <c r="O22" s="652">
        <v>12</v>
      </c>
      <c r="P22" s="149">
        <v>1008</v>
      </c>
      <c r="Q22" s="652">
        <v>2879</v>
      </c>
      <c r="R22" s="149"/>
      <c r="S22" s="652">
        <v>832</v>
      </c>
      <c r="T22" s="149">
        <v>106</v>
      </c>
      <c r="U22" s="652">
        <v>75</v>
      </c>
      <c r="V22" s="149">
        <v>104561</v>
      </c>
      <c r="W22" s="652">
        <v>73966</v>
      </c>
      <c r="X22" s="149">
        <v>67028</v>
      </c>
      <c r="Y22" s="652">
        <v>48231</v>
      </c>
      <c r="Z22" s="232">
        <v>1097</v>
      </c>
      <c r="AA22" s="652">
        <v>1047</v>
      </c>
      <c r="AB22" s="149">
        <v>489</v>
      </c>
      <c r="AC22" s="652">
        <v>240.17</v>
      </c>
      <c r="AD22" s="149">
        <v>6930</v>
      </c>
      <c r="AE22" s="652">
        <v>7137</v>
      </c>
      <c r="AF22" s="149">
        <v>19436</v>
      </c>
      <c r="AG22" s="652">
        <v>23460</v>
      </c>
      <c r="AH22" s="149">
        <v>7582</v>
      </c>
      <c r="AI22" s="652">
        <v>2804</v>
      </c>
      <c r="AJ22" s="149">
        <v>3823</v>
      </c>
      <c r="AK22" s="652">
        <v>3674</v>
      </c>
      <c r="AL22" s="447"/>
      <c r="AM22" s="652"/>
      <c r="AN22" s="663">
        <v>2685</v>
      </c>
      <c r="AO22" s="661">
        <v>3237</v>
      </c>
      <c r="AP22" s="149">
        <v>3.78</v>
      </c>
      <c r="AQ22" s="652">
        <v>4</v>
      </c>
      <c r="AR22" s="148">
        <v>1742</v>
      </c>
      <c r="AS22" s="652">
        <v>841</v>
      </c>
      <c r="AT22" s="149">
        <v>52683</v>
      </c>
      <c r="AU22" s="652">
        <v>27590</v>
      </c>
      <c r="AV22" s="464">
        <f t="shared" si="0"/>
        <v>331385.78000000003</v>
      </c>
      <c r="AW22" s="464">
        <f t="shared" si="1"/>
        <v>233487.17</v>
      </c>
      <c r="AX22" s="148">
        <v>26147.59</v>
      </c>
      <c r="AY22" s="652">
        <v>15464.17</v>
      </c>
      <c r="AZ22" s="150">
        <f t="shared" si="2"/>
        <v>357533.37000000005</v>
      </c>
      <c r="BA22" s="912">
        <f t="shared" si="3"/>
        <v>248951.34000000003</v>
      </c>
    </row>
    <row r="23" spans="1:53" x14ac:dyDescent="0.3">
      <c r="A23" s="144" t="s">
        <v>93</v>
      </c>
      <c r="B23" s="145">
        <v>606</v>
      </c>
      <c r="C23" s="652">
        <v>577</v>
      </c>
      <c r="D23" s="149">
        <v>92</v>
      </c>
      <c r="E23" s="652">
        <v>110</v>
      </c>
      <c r="F23" s="149">
        <v>84</v>
      </c>
      <c r="G23" s="652">
        <v>83</v>
      </c>
      <c r="H23" s="149">
        <v>544</v>
      </c>
      <c r="I23" s="652">
        <v>404</v>
      </c>
      <c r="J23" s="149">
        <v>219</v>
      </c>
      <c r="K23" s="652">
        <v>167</v>
      </c>
      <c r="L23" s="149">
        <v>392</v>
      </c>
      <c r="M23" s="652">
        <v>409</v>
      </c>
      <c r="N23" s="149">
        <v>91</v>
      </c>
      <c r="O23" s="652">
        <v>80</v>
      </c>
      <c r="P23" s="149">
        <v>130</v>
      </c>
      <c r="Q23" s="652">
        <v>137</v>
      </c>
      <c r="R23" s="149"/>
      <c r="S23" s="652">
        <v>280</v>
      </c>
      <c r="T23" s="149">
        <v>76</v>
      </c>
      <c r="U23" s="652">
        <v>84</v>
      </c>
      <c r="V23" s="149">
        <v>913</v>
      </c>
      <c r="W23" s="652">
        <v>1076</v>
      </c>
      <c r="X23" s="149">
        <v>1435</v>
      </c>
      <c r="Y23" s="652">
        <v>1595</v>
      </c>
      <c r="Z23" s="232">
        <v>99</v>
      </c>
      <c r="AA23" s="652">
        <v>114</v>
      </c>
      <c r="AB23" s="149">
        <v>127</v>
      </c>
      <c r="AC23" s="652">
        <v>144.63</v>
      </c>
      <c r="AD23" s="149">
        <v>480</v>
      </c>
      <c r="AE23" s="652">
        <v>420</v>
      </c>
      <c r="AF23" s="490">
        <v>976</v>
      </c>
      <c r="AG23" s="652">
        <v>1041</v>
      </c>
      <c r="AH23" s="149">
        <v>380</v>
      </c>
      <c r="AI23" s="652">
        <v>339</v>
      </c>
      <c r="AJ23" s="149">
        <v>372</v>
      </c>
      <c r="AK23" s="652">
        <v>311</v>
      </c>
      <c r="AL23" s="447"/>
      <c r="AM23" s="652"/>
      <c r="AN23" s="663">
        <v>443</v>
      </c>
      <c r="AO23" s="661">
        <v>510</v>
      </c>
      <c r="AP23" s="149">
        <v>47.73</v>
      </c>
      <c r="AQ23" s="652">
        <v>46</v>
      </c>
      <c r="AR23" s="148">
        <v>15</v>
      </c>
      <c r="AS23" s="652">
        <v>14</v>
      </c>
      <c r="AT23" s="149">
        <v>1018</v>
      </c>
      <c r="AU23" s="652">
        <v>825</v>
      </c>
      <c r="AV23" s="464">
        <f t="shared" si="0"/>
        <v>8539.73</v>
      </c>
      <c r="AW23" s="464">
        <f t="shared" si="1"/>
        <v>8766.630000000001</v>
      </c>
      <c r="AX23" s="148">
        <v>3018.31</v>
      </c>
      <c r="AY23" s="652">
        <v>3826.55</v>
      </c>
      <c r="AZ23" s="150">
        <f t="shared" si="2"/>
        <v>11558.039999999999</v>
      </c>
      <c r="BA23" s="912">
        <f t="shared" si="3"/>
        <v>12593.18</v>
      </c>
    </row>
    <row r="24" spans="1:53" x14ac:dyDescent="0.3">
      <c r="A24" s="144" t="s">
        <v>94</v>
      </c>
      <c r="B24" s="145"/>
      <c r="C24" s="652"/>
      <c r="D24" s="149"/>
      <c r="E24" s="652"/>
      <c r="F24" s="149"/>
      <c r="G24" s="652"/>
      <c r="H24" s="149"/>
      <c r="I24" s="652"/>
      <c r="J24" s="149"/>
      <c r="K24" s="652"/>
      <c r="L24" s="149"/>
      <c r="M24" s="652"/>
      <c r="N24" s="149"/>
      <c r="O24" s="652"/>
      <c r="P24" s="149"/>
      <c r="Q24" s="652"/>
      <c r="R24" s="149"/>
      <c r="S24" s="652">
        <v>214</v>
      </c>
      <c r="T24" s="149"/>
      <c r="U24" s="652"/>
      <c r="V24" s="149"/>
      <c r="W24" s="652"/>
      <c r="X24" s="149"/>
      <c r="Y24" s="652"/>
      <c r="Z24" s="232"/>
      <c r="AA24" s="652"/>
      <c r="AB24" s="149"/>
      <c r="AC24" s="652"/>
      <c r="AD24" s="149"/>
      <c r="AE24" s="652"/>
      <c r="AF24" s="149">
        <v>1859</v>
      </c>
      <c r="AG24" s="652">
        <v>1446</v>
      </c>
      <c r="AH24" s="149">
        <v>319</v>
      </c>
      <c r="AI24" s="652">
        <v>171</v>
      </c>
      <c r="AJ24" s="149"/>
      <c r="AK24" s="652"/>
      <c r="AL24" s="447"/>
      <c r="AM24" s="652"/>
      <c r="AN24" s="663"/>
      <c r="AO24" s="661">
        <v>76</v>
      </c>
      <c r="AP24" s="149"/>
      <c r="AQ24" s="652"/>
      <c r="AR24" s="148"/>
      <c r="AS24" s="652"/>
      <c r="AT24" s="149"/>
      <c r="AU24" s="652"/>
      <c r="AV24" s="464">
        <f t="shared" si="0"/>
        <v>2178</v>
      </c>
      <c r="AW24" s="464">
        <f t="shared" si="1"/>
        <v>1907</v>
      </c>
      <c r="AX24" s="148"/>
      <c r="AY24" s="652"/>
      <c r="AZ24" s="150">
        <f t="shared" si="2"/>
        <v>2178</v>
      </c>
      <c r="BA24" s="912">
        <f t="shared" si="3"/>
        <v>1907</v>
      </c>
    </row>
    <row r="25" spans="1:53" x14ac:dyDescent="0.3">
      <c r="A25" s="144" t="s">
        <v>95</v>
      </c>
      <c r="B25" s="145">
        <v>4273</v>
      </c>
      <c r="C25" s="652">
        <v>3763</v>
      </c>
      <c r="D25" s="149">
        <v>1936</v>
      </c>
      <c r="E25" s="652">
        <v>1302</v>
      </c>
      <c r="F25" s="149">
        <v>575</v>
      </c>
      <c r="G25" s="652">
        <v>402</v>
      </c>
      <c r="H25" s="149">
        <v>4105</v>
      </c>
      <c r="I25" s="652">
        <v>4511</v>
      </c>
      <c r="J25" s="149">
        <v>3747</v>
      </c>
      <c r="K25" s="652">
        <v>3555</v>
      </c>
      <c r="L25" s="149">
        <v>3298</v>
      </c>
      <c r="M25" s="652">
        <v>2469</v>
      </c>
      <c r="N25" s="149">
        <v>805</v>
      </c>
      <c r="O25" s="652">
        <v>719</v>
      </c>
      <c r="P25" s="149">
        <v>1612</v>
      </c>
      <c r="Q25" s="652">
        <v>1129</v>
      </c>
      <c r="R25" s="149"/>
      <c r="S25" s="652">
        <v>1647</v>
      </c>
      <c r="T25" s="149">
        <v>979</v>
      </c>
      <c r="U25" s="652">
        <v>624</v>
      </c>
      <c r="V25" s="149">
        <v>9272</v>
      </c>
      <c r="W25" s="652">
        <v>7935</v>
      </c>
      <c r="X25" s="149">
        <v>7795</v>
      </c>
      <c r="Y25" s="652">
        <v>4980</v>
      </c>
      <c r="Z25" s="232">
        <v>1411</v>
      </c>
      <c r="AA25" s="652">
        <v>1031</v>
      </c>
      <c r="AB25" s="149">
        <v>2360</v>
      </c>
      <c r="AC25" s="652">
        <v>3114.7</v>
      </c>
      <c r="AD25" s="490">
        <v>2381</v>
      </c>
      <c r="AE25" s="652">
        <v>2155</v>
      </c>
      <c r="AF25" s="149">
        <v>5402</v>
      </c>
      <c r="AG25" s="652">
        <v>3971</v>
      </c>
      <c r="AH25" s="149">
        <v>4013</v>
      </c>
      <c r="AI25" s="652">
        <v>3393</v>
      </c>
      <c r="AJ25" s="149">
        <v>1756</v>
      </c>
      <c r="AK25" s="652">
        <v>1576</v>
      </c>
      <c r="AL25" s="447"/>
      <c r="AM25" s="652"/>
      <c r="AN25" s="663">
        <v>5920</v>
      </c>
      <c r="AO25" s="661">
        <v>5946</v>
      </c>
      <c r="AP25" s="149">
        <v>759</v>
      </c>
      <c r="AQ25" s="652">
        <v>744</v>
      </c>
      <c r="AR25" s="148">
        <v>1262</v>
      </c>
      <c r="AS25" s="652">
        <v>999</v>
      </c>
      <c r="AT25" s="149">
        <v>6675</v>
      </c>
      <c r="AU25" s="652">
        <v>4026</v>
      </c>
      <c r="AV25" s="464">
        <f t="shared" si="0"/>
        <v>70336</v>
      </c>
      <c r="AW25" s="464">
        <f t="shared" si="1"/>
        <v>59991.7</v>
      </c>
      <c r="AX25" s="149"/>
      <c r="AY25" s="652"/>
      <c r="AZ25" s="150">
        <f t="shared" si="2"/>
        <v>70336</v>
      </c>
      <c r="BA25" s="912">
        <f t="shared" si="3"/>
        <v>59991.7</v>
      </c>
    </row>
    <row r="26" spans="1:53" x14ac:dyDescent="0.3">
      <c r="A26" s="144" t="s">
        <v>96</v>
      </c>
      <c r="B26" s="145">
        <v>189</v>
      </c>
      <c r="C26" s="652"/>
      <c r="D26" s="149"/>
      <c r="E26" s="652">
        <v>12</v>
      </c>
      <c r="F26" s="149">
        <v>54</v>
      </c>
      <c r="G26" s="652">
        <v>56</v>
      </c>
      <c r="H26" s="149">
        <v>2010</v>
      </c>
      <c r="I26" s="652">
        <v>1435</v>
      </c>
      <c r="J26" s="149"/>
      <c r="K26" s="652"/>
      <c r="L26" s="149"/>
      <c r="M26" s="652"/>
      <c r="N26" s="149">
        <v>106</v>
      </c>
      <c r="O26" s="652">
        <v>35</v>
      </c>
      <c r="P26" s="149">
        <v>79</v>
      </c>
      <c r="Q26" s="652">
        <v>138</v>
      </c>
      <c r="R26" s="149"/>
      <c r="S26" s="652">
        <v>223</v>
      </c>
      <c r="T26" s="149">
        <v>10</v>
      </c>
      <c r="U26" s="652">
        <v>12</v>
      </c>
      <c r="V26" s="149">
        <v>504</v>
      </c>
      <c r="W26" s="652">
        <v>438</v>
      </c>
      <c r="X26" s="149">
        <v>609</v>
      </c>
      <c r="Y26" s="652">
        <v>462</v>
      </c>
      <c r="Z26" s="232"/>
      <c r="AA26" s="652"/>
      <c r="AB26" s="149"/>
      <c r="AC26" s="652"/>
      <c r="AD26" s="149">
        <v>1286</v>
      </c>
      <c r="AE26" s="652">
        <v>383</v>
      </c>
      <c r="AF26" s="149">
        <v>966</v>
      </c>
      <c r="AG26" s="652">
        <v>311</v>
      </c>
      <c r="AH26" s="149">
        <v>48</v>
      </c>
      <c r="AI26" s="652">
        <v>382</v>
      </c>
      <c r="AJ26" s="149"/>
      <c r="AK26" s="652"/>
      <c r="AL26" s="447"/>
      <c r="AM26" s="652"/>
      <c r="AN26" s="663">
        <v>1702</v>
      </c>
      <c r="AO26" s="661">
        <v>1105</v>
      </c>
      <c r="AP26" s="149">
        <v>80</v>
      </c>
      <c r="AQ26" s="652">
        <v>39</v>
      </c>
      <c r="AR26" s="148">
        <v>203</v>
      </c>
      <c r="AS26" s="652">
        <v>74</v>
      </c>
      <c r="AT26" s="149"/>
      <c r="AU26" s="652"/>
      <c r="AV26" s="464">
        <f t="shared" si="0"/>
        <v>7846</v>
      </c>
      <c r="AW26" s="464">
        <f t="shared" si="1"/>
        <v>5105</v>
      </c>
      <c r="AX26" s="148">
        <v>101821.91</v>
      </c>
      <c r="AY26" s="652">
        <v>120309.34</v>
      </c>
      <c r="AZ26" s="150">
        <f t="shared" si="2"/>
        <v>109667.91</v>
      </c>
      <c r="BA26" s="912">
        <f t="shared" si="3"/>
        <v>125414.34</v>
      </c>
    </row>
    <row r="27" spans="1:53" x14ac:dyDescent="0.3">
      <c r="A27" s="144" t="s">
        <v>97</v>
      </c>
      <c r="B27" s="145">
        <v>1971</v>
      </c>
      <c r="C27" s="652">
        <v>1304</v>
      </c>
      <c r="D27" s="149">
        <v>9</v>
      </c>
      <c r="E27" s="652">
        <v>219</v>
      </c>
      <c r="F27" s="149">
        <v>135</v>
      </c>
      <c r="G27" s="652">
        <v>267</v>
      </c>
      <c r="H27" s="149">
        <v>4601</v>
      </c>
      <c r="I27" s="652">
        <v>2200</v>
      </c>
      <c r="J27" s="149">
        <v>206</v>
      </c>
      <c r="K27" s="652">
        <v>136</v>
      </c>
      <c r="L27" s="149">
        <v>1052</v>
      </c>
      <c r="M27" s="652">
        <v>346</v>
      </c>
      <c r="N27" s="149">
        <v>346</v>
      </c>
      <c r="O27" s="652">
        <v>287</v>
      </c>
      <c r="P27" s="149">
        <v>90</v>
      </c>
      <c r="Q27" s="652">
        <v>132</v>
      </c>
      <c r="R27" s="149"/>
      <c r="S27" s="652">
        <v>500</v>
      </c>
      <c r="T27" s="149">
        <v>225</v>
      </c>
      <c r="U27" s="652">
        <v>207</v>
      </c>
      <c r="V27" s="149">
        <v>6397</v>
      </c>
      <c r="W27" s="652">
        <v>4818</v>
      </c>
      <c r="X27" s="149">
        <v>7418</v>
      </c>
      <c r="Y27" s="652">
        <v>5155</v>
      </c>
      <c r="Z27" s="232">
        <v>136</v>
      </c>
      <c r="AA27" s="652">
        <v>91</v>
      </c>
      <c r="AB27" s="149">
        <v>913</v>
      </c>
      <c r="AC27" s="652">
        <v>1624.9</v>
      </c>
      <c r="AD27" s="149">
        <v>2774</v>
      </c>
      <c r="AE27" s="652">
        <v>1991</v>
      </c>
      <c r="AF27" s="149">
        <v>2565</v>
      </c>
      <c r="AG27" s="652">
        <v>2638</v>
      </c>
      <c r="AH27" s="149">
        <v>1954</v>
      </c>
      <c r="AI27" s="652">
        <v>2387</v>
      </c>
      <c r="AJ27" s="149">
        <v>127</v>
      </c>
      <c r="AK27" s="652">
        <v>148</v>
      </c>
      <c r="AL27" s="447"/>
      <c r="AM27" s="652"/>
      <c r="AN27" s="663">
        <v>5036</v>
      </c>
      <c r="AO27" s="661">
        <v>4655</v>
      </c>
      <c r="AP27" s="149">
        <v>266.61</v>
      </c>
      <c r="AQ27" s="652">
        <v>351</v>
      </c>
      <c r="AR27" s="148">
        <v>1647</v>
      </c>
      <c r="AS27" s="652">
        <v>755</v>
      </c>
      <c r="AT27" s="149">
        <v>3513</v>
      </c>
      <c r="AU27" s="652">
        <v>2131</v>
      </c>
      <c r="AV27" s="464">
        <f t="shared" si="0"/>
        <v>41381.61</v>
      </c>
      <c r="AW27" s="464">
        <f t="shared" si="1"/>
        <v>32342.9</v>
      </c>
      <c r="AX27" s="148">
        <v>18135.849999999999</v>
      </c>
      <c r="AY27" s="652">
        <v>12569.79</v>
      </c>
      <c r="AZ27" s="150">
        <f t="shared" si="2"/>
        <v>59517.46</v>
      </c>
      <c r="BA27" s="912">
        <f t="shared" si="3"/>
        <v>44912.69</v>
      </c>
    </row>
    <row r="28" spans="1:53" x14ac:dyDescent="0.3">
      <c r="A28" s="144" t="s">
        <v>98</v>
      </c>
      <c r="B28" s="145">
        <v>1854</v>
      </c>
      <c r="C28" s="652">
        <v>1731</v>
      </c>
      <c r="D28" s="149">
        <v>1415</v>
      </c>
      <c r="E28" s="652">
        <v>1772</v>
      </c>
      <c r="F28" s="149">
        <v>988</v>
      </c>
      <c r="G28" s="652">
        <v>1251</v>
      </c>
      <c r="H28" s="149">
        <v>2141</v>
      </c>
      <c r="I28" s="652">
        <v>2017</v>
      </c>
      <c r="J28" s="149">
        <v>628</v>
      </c>
      <c r="K28" s="652">
        <v>526</v>
      </c>
      <c r="L28" s="149">
        <v>903</v>
      </c>
      <c r="M28" s="652">
        <v>818</v>
      </c>
      <c r="N28" s="149">
        <v>344</v>
      </c>
      <c r="O28" s="652">
        <v>689</v>
      </c>
      <c r="P28" s="149">
        <v>1607</v>
      </c>
      <c r="Q28" s="652">
        <v>1631</v>
      </c>
      <c r="R28" s="149"/>
      <c r="S28" s="652">
        <v>765</v>
      </c>
      <c r="T28" s="149">
        <v>1015</v>
      </c>
      <c r="U28" s="652">
        <v>1157</v>
      </c>
      <c r="V28" s="149">
        <v>2742</v>
      </c>
      <c r="W28" s="652">
        <v>2592</v>
      </c>
      <c r="X28" s="149">
        <v>3770</v>
      </c>
      <c r="Y28" s="652">
        <v>3131</v>
      </c>
      <c r="Z28" s="232">
        <v>431</v>
      </c>
      <c r="AA28" s="652">
        <v>403</v>
      </c>
      <c r="AB28" s="149">
        <v>827</v>
      </c>
      <c r="AC28" s="652">
        <v>818</v>
      </c>
      <c r="AD28" s="149">
        <v>2430</v>
      </c>
      <c r="AE28" s="652">
        <v>2256</v>
      </c>
      <c r="AF28" s="149">
        <v>6506</v>
      </c>
      <c r="AG28" s="652">
        <v>4530</v>
      </c>
      <c r="AH28" s="149">
        <v>2205</v>
      </c>
      <c r="AI28" s="652">
        <v>2069</v>
      </c>
      <c r="AJ28" s="149">
        <v>1868</v>
      </c>
      <c r="AK28" s="652">
        <v>1769</v>
      </c>
      <c r="AL28" s="447"/>
      <c r="AM28" s="652"/>
      <c r="AN28" s="663">
        <v>3426</v>
      </c>
      <c r="AO28" s="661">
        <v>3992</v>
      </c>
      <c r="AP28" s="149">
        <v>808.5</v>
      </c>
      <c r="AQ28" s="652">
        <v>1014</v>
      </c>
      <c r="AR28" s="148">
        <v>794</v>
      </c>
      <c r="AS28" s="652">
        <v>551</v>
      </c>
      <c r="AT28" s="149">
        <v>2042</v>
      </c>
      <c r="AU28" s="652">
        <v>2727</v>
      </c>
      <c r="AV28" s="464">
        <f t="shared" si="0"/>
        <v>38744.5</v>
      </c>
      <c r="AW28" s="464">
        <f t="shared" si="1"/>
        <v>38209</v>
      </c>
      <c r="AX28" s="148">
        <v>22093.18</v>
      </c>
      <c r="AY28" s="652">
        <v>21339.88</v>
      </c>
      <c r="AZ28" s="150">
        <f t="shared" si="2"/>
        <v>60837.68</v>
      </c>
      <c r="BA28" s="912">
        <f t="shared" si="3"/>
        <v>59548.880000000005</v>
      </c>
    </row>
    <row r="29" spans="1:53" x14ac:dyDescent="0.3">
      <c r="A29" s="144" t="s">
        <v>99</v>
      </c>
      <c r="B29" s="145">
        <v>-21</v>
      </c>
      <c r="C29" s="652">
        <v>83</v>
      </c>
      <c r="D29" s="149"/>
      <c r="E29" s="652"/>
      <c r="F29" s="149"/>
      <c r="G29" s="652"/>
      <c r="H29" s="149"/>
      <c r="I29" s="652"/>
      <c r="J29" s="149">
        <v>-8</v>
      </c>
      <c r="K29" s="652">
        <v>-1</v>
      </c>
      <c r="L29" s="149"/>
      <c r="M29" s="652"/>
      <c r="N29" s="149">
        <v>7</v>
      </c>
      <c r="O29" s="652">
        <v>32</v>
      </c>
      <c r="P29" s="149"/>
      <c r="Q29" s="652">
        <v>54</v>
      </c>
      <c r="R29" s="149"/>
      <c r="S29" s="652"/>
      <c r="T29" s="149"/>
      <c r="U29" s="652"/>
      <c r="V29" s="149"/>
      <c r="W29" s="652"/>
      <c r="X29" s="149"/>
      <c r="Y29" s="652"/>
      <c r="Z29" s="232"/>
      <c r="AA29" s="652"/>
      <c r="AB29" s="149"/>
      <c r="AC29" s="652"/>
      <c r="AD29" s="149"/>
      <c r="AE29" s="652"/>
      <c r="AF29" s="149">
        <v>1</v>
      </c>
      <c r="AG29" s="652">
        <v>-6</v>
      </c>
      <c r="AH29" s="149"/>
      <c r="AI29" s="652"/>
      <c r="AJ29" s="149"/>
      <c r="AK29" s="652"/>
      <c r="AL29" s="447"/>
      <c r="AM29" s="652"/>
      <c r="AN29" s="663"/>
      <c r="AO29" s="661"/>
      <c r="AP29" s="149"/>
      <c r="AQ29" s="652"/>
      <c r="AR29" s="148"/>
      <c r="AS29" s="652"/>
      <c r="AT29" s="149"/>
      <c r="AU29" s="652"/>
      <c r="AV29" s="464">
        <f t="shared" si="0"/>
        <v>-21</v>
      </c>
      <c r="AW29" s="464">
        <f t="shared" si="1"/>
        <v>162</v>
      </c>
      <c r="AX29" s="148"/>
      <c r="AY29" s="652"/>
      <c r="AZ29" s="150">
        <f t="shared" si="2"/>
        <v>-21</v>
      </c>
      <c r="BA29" s="912">
        <f t="shared" si="3"/>
        <v>162</v>
      </c>
    </row>
    <row r="30" spans="1:53" x14ac:dyDescent="0.3">
      <c r="A30" s="144" t="s">
        <v>100</v>
      </c>
      <c r="B30" s="145"/>
      <c r="C30" s="652"/>
      <c r="D30" s="149"/>
      <c r="E30" s="652"/>
      <c r="F30" s="149"/>
      <c r="G30" s="652"/>
      <c r="H30" s="149"/>
      <c r="I30" s="652"/>
      <c r="J30" s="149"/>
      <c r="K30" s="652"/>
      <c r="L30" s="149"/>
      <c r="M30" s="652"/>
      <c r="N30" s="149"/>
      <c r="O30" s="652"/>
      <c r="P30" s="149"/>
      <c r="Q30" s="652"/>
      <c r="R30" s="149"/>
      <c r="S30" s="652"/>
      <c r="T30" s="149"/>
      <c r="U30" s="652"/>
      <c r="V30" s="149"/>
      <c r="W30" s="652"/>
      <c r="X30" s="149"/>
      <c r="Y30" s="652"/>
      <c r="Z30" s="232"/>
      <c r="AA30" s="652"/>
      <c r="AB30" s="149"/>
      <c r="AC30" s="652"/>
      <c r="AD30" s="149"/>
      <c r="AE30" s="652"/>
      <c r="AF30" s="149"/>
      <c r="AG30" s="652"/>
      <c r="AH30" s="149"/>
      <c r="AI30" s="652"/>
      <c r="AJ30" s="149"/>
      <c r="AK30" s="652"/>
      <c r="AL30" s="447"/>
      <c r="AM30" s="652"/>
      <c r="AN30" s="663"/>
      <c r="AO30" s="661"/>
      <c r="AP30" s="149"/>
      <c r="AQ30" s="652"/>
      <c r="AR30" s="148"/>
      <c r="AS30" s="652"/>
      <c r="AT30" s="149"/>
      <c r="AU30" s="652"/>
      <c r="AV30" s="464">
        <f t="shared" si="0"/>
        <v>0</v>
      </c>
      <c r="AW30" s="464">
        <f t="shared" si="1"/>
        <v>0</v>
      </c>
      <c r="AX30" s="148"/>
      <c r="AY30" s="652"/>
      <c r="AZ30" s="150">
        <f t="shared" si="2"/>
        <v>0</v>
      </c>
      <c r="BA30" s="912">
        <f t="shared" si="3"/>
        <v>0</v>
      </c>
    </row>
    <row r="31" spans="1:53" x14ac:dyDescent="0.3">
      <c r="A31" s="144" t="s">
        <v>101</v>
      </c>
      <c r="B31" s="145">
        <f>280+199</f>
        <v>479</v>
      </c>
      <c r="C31" s="652">
        <v>31</v>
      </c>
      <c r="D31" s="149">
        <v>11</v>
      </c>
      <c r="E31" s="652">
        <v>12</v>
      </c>
      <c r="F31" s="149">
        <v>232</v>
      </c>
      <c r="G31" s="652">
        <v>142</v>
      </c>
      <c r="H31" s="149">
        <v>3872</v>
      </c>
      <c r="I31" s="652">
        <v>1997</v>
      </c>
      <c r="J31" s="149"/>
      <c r="K31" s="652"/>
      <c r="L31" s="149">
        <v>865</v>
      </c>
      <c r="M31" s="652">
        <v>677</v>
      </c>
      <c r="N31" s="149">
        <v>407</v>
      </c>
      <c r="O31" s="652">
        <v>50</v>
      </c>
      <c r="P31" s="149">
        <v>2837</v>
      </c>
      <c r="Q31" s="652">
        <v>1410</v>
      </c>
      <c r="R31" s="149"/>
      <c r="S31" s="652">
        <v>7371</v>
      </c>
      <c r="T31" s="149">
        <v>3911</v>
      </c>
      <c r="U31" s="652">
        <v>1384</v>
      </c>
      <c r="V31" s="149">
        <v>25330</v>
      </c>
      <c r="W31" s="652">
        <v>9622</v>
      </c>
      <c r="X31" s="149">
        <v>2597</v>
      </c>
      <c r="Y31" s="652">
        <v>50</v>
      </c>
      <c r="Z31" s="232">
        <v>1244</v>
      </c>
      <c r="AA31" s="652">
        <v>637</v>
      </c>
      <c r="AB31" s="149">
        <v>13119</v>
      </c>
      <c r="AC31" s="652">
        <v>6169</v>
      </c>
      <c r="AD31" s="149">
        <v>3750</v>
      </c>
      <c r="AE31" s="652">
        <v>1527</v>
      </c>
      <c r="AF31" s="149">
        <v>2706</v>
      </c>
      <c r="AG31" s="652">
        <v>80</v>
      </c>
      <c r="AH31" s="149">
        <v>5130</v>
      </c>
      <c r="AI31" s="652">
        <v>1745</v>
      </c>
      <c r="AJ31" s="149">
        <v>922</v>
      </c>
      <c r="AK31" s="652">
        <v>878</v>
      </c>
      <c r="AL31" s="447"/>
      <c r="AM31" s="652"/>
      <c r="AN31" s="663">
        <v>11600</v>
      </c>
      <c r="AO31" s="661">
        <v>8838</v>
      </c>
      <c r="AP31" s="149">
        <v>2688.41</v>
      </c>
      <c r="AQ31" s="652">
        <v>1701</v>
      </c>
      <c r="AR31" s="148">
        <v>1770</v>
      </c>
      <c r="AS31" s="652">
        <v>782</v>
      </c>
      <c r="AT31" s="149">
        <v>4354</v>
      </c>
      <c r="AU31" s="652">
        <v>792</v>
      </c>
      <c r="AV31" s="464">
        <f t="shared" si="0"/>
        <v>87824.41</v>
      </c>
      <c r="AW31" s="464">
        <f t="shared" si="1"/>
        <v>45895</v>
      </c>
      <c r="AX31" s="148"/>
      <c r="AY31" s="652"/>
      <c r="AZ31" s="150">
        <f t="shared" si="2"/>
        <v>87824.41</v>
      </c>
      <c r="BA31" s="912">
        <f t="shared" si="3"/>
        <v>45895</v>
      </c>
    </row>
    <row r="32" spans="1:53" x14ac:dyDescent="0.3">
      <c r="A32" s="144" t="s">
        <v>102</v>
      </c>
      <c r="B32" s="145"/>
      <c r="C32" s="652"/>
      <c r="D32" s="149">
        <v>227</v>
      </c>
      <c r="E32" s="652">
        <v>193</v>
      </c>
      <c r="F32" s="149"/>
      <c r="G32" s="652"/>
      <c r="H32" s="149"/>
      <c r="I32" s="652"/>
      <c r="J32" s="149"/>
      <c r="K32" s="652"/>
      <c r="L32" s="149"/>
      <c r="M32" s="652"/>
      <c r="N32" s="149"/>
      <c r="O32" s="652"/>
      <c r="P32" s="149">
        <v>480</v>
      </c>
      <c r="Q32" s="652">
        <v>520</v>
      </c>
      <c r="R32" s="149"/>
      <c r="S32" s="652"/>
      <c r="T32" s="149"/>
      <c r="U32" s="652"/>
      <c r="V32" s="149"/>
      <c r="W32" s="652"/>
      <c r="X32" s="149"/>
      <c r="Y32" s="652"/>
      <c r="Z32" s="232"/>
      <c r="AA32" s="652"/>
      <c r="AB32" s="149"/>
      <c r="AC32" s="652"/>
      <c r="AD32" s="149"/>
      <c r="AE32" s="652"/>
      <c r="AF32" s="149"/>
      <c r="AG32" s="652"/>
      <c r="AH32" s="149"/>
      <c r="AI32" s="652"/>
      <c r="AJ32" s="149">
        <v>1308</v>
      </c>
      <c r="AK32" s="652">
        <v>1228</v>
      </c>
      <c r="AL32" s="447"/>
      <c r="AM32" s="652"/>
      <c r="AN32" s="663"/>
      <c r="AO32" s="661"/>
      <c r="AP32" s="149"/>
      <c r="AQ32" s="652"/>
      <c r="AR32" s="148"/>
      <c r="AS32" s="652"/>
      <c r="AT32" s="149"/>
      <c r="AU32" s="652"/>
      <c r="AV32" s="464">
        <f t="shared" si="0"/>
        <v>2015</v>
      </c>
      <c r="AW32" s="464">
        <f t="shared" si="1"/>
        <v>1941</v>
      </c>
      <c r="AX32" s="148"/>
      <c r="AY32" s="652"/>
      <c r="AZ32" s="150">
        <f t="shared" si="2"/>
        <v>2015</v>
      </c>
      <c r="BA32" s="912">
        <f t="shared" si="3"/>
        <v>1941</v>
      </c>
    </row>
    <row r="33" spans="1:53" x14ac:dyDescent="0.3">
      <c r="A33" s="144" t="s">
        <v>103</v>
      </c>
      <c r="B33" s="145"/>
      <c r="C33" s="652"/>
      <c r="D33" s="149">
        <v>24</v>
      </c>
      <c r="E33" s="652">
        <v>30</v>
      </c>
      <c r="F33" s="149"/>
      <c r="G33" s="652"/>
      <c r="H33" s="149"/>
      <c r="I33" s="652">
        <v>788</v>
      </c>
      <c r="J33" s="149"/>
      <c r="K33" s="652"/>
      <c r="L33" s="149"/>
      <c r="M33" s="652"/>
      <c r="N33" s="149"/>
      <c r="O33" s="652"/>
      <c r="P33" s="149"/>
      <c r="Q33" s="652"/>
      <c r="R33" s="149"/>
      <c r="S33" s="652"/>
      <c r="T33" s="149"/>
      <c r="U33" s="652"/>
      <c r="V33" s="149"/>
      <c r="W33" s="652"/>
      <c r="X33" s="149"/>
      <c r="Y33" s="652"/>
      <c r="Z33" s="232">
        <v>241</v>
      </c>
      <c r="AA33" s="652">
        <v>220</v>
      </c>
      <c r="AB33" s="149">
        <v>174</v>
      </c>
      <c r="AC33" s="652">
        <v>148</v>
      </c>
      <c r="AD33" s="149"/>
      <c r="AE33" s="652"/>
      <c r="AF33" s="149">
        <v>54</v>
      </c>
      <c r="AG33" s="652">
        <v>50</v>
      </c>
      <c r="AH33" s="149">
        <v>574</v>
      </c>
      <c r="AI33" s="652">
        <v>518</v>
      </c>
      <c r="AJ33" s="149"/>
      <c r="AK33" s="652"/>
      <c r="AL33" s="447"/>
      <c r="AM33" s="652"/>
      <c r="AN33" s="663"/>
      <c r="AO33" s="661"/>
      <c r="AP33" s="149"/>
      <c r="AQ33" s="652"/>
      <c r="AR33" s="148"/>
      <c r="AS33" s="652"/>
      <c r="AT33" s="149"/>
      <c r="AU33" s="652"/>
      <c r="AV33" s="464">
        <f t="shared" si="0"/>
        <v>1067</v>
      </c>
      <c r="AW33" s="464">
        <f t="shared" si="1"/>
        <v>1754</v>
      </c>
      <c r="AX33" s="148"/>
      <c r="AY33" s="652"/>
      <c r="AZ33" s="150">
        <f t="shared" si="2"/>
        <v>1067</v>
      </c>
      <c r="BA33" s="912">
        <f t="shared" si="3"/>
        <v>1754</v>
      </c>
    </row>
    <row r="34" spans="1:53" x14ac:dyDescent="0.3">
      <c r="A34" s="144" t="s">
        <v>104</v>
      </c>
      <c r="B34" s="145">
        <v>524</v>
      </c>
      <c r="C34" s="652">
        <v>433</v>
      </c>
      <c r="D34" s="149">
        <v>7</v>
      </c>
      <c r="E34" s="652">
        <v>6</v>
      </c>
      <c r="F34" s="149">
        <v>144</v>
      </c>
      <c r="G34" s="652">
        <v>129</v>
      </c>
      <c r="H34" s="149">
        <v>553</v>
      </c>
      <c r="I34" s="652">
        <v>411</v>
      </c>
      <c r="J34" s="149">
        <v>276</v>
      </c>
      <c r="K34" s="652">
        <v>139</v>
      </c>
      <c r="L34" s="149"/>
      <c r="M34" s="652"/>
      <c r="N34" s="149">
        <v>100</v>
      </c>
      <c r="O34" s="652">
        <v>109</v>
      </c>
      <c r="P34" s="149"/>
      <c r="Q34" s="652"/>
      <c r="R34" s="149"/>
      <c r="S34" s="652">
        <v>282</v>
      </c>
      <c r="T34" s="149"/>
      <c r="U34" s="652"/>
      <c r="V34" s="149"/>
      <c r="W34" s="652"/>
      <c r="X34" s="149"/>
      <c r="Y34" s="652"/>
      <c r="Z34" s="232">
        <v>103</v>
      </c>
      <c r="AA34" s="652">
        <v>79</v>
      </c>
      <c r="AB34" s="149"/>
      <c r="AC34" s="652"/>
      <c r="AD34" s="149">
        <v>504</v>
      </c>
      <c r="AE34" s="652">
        <v>369</v>
      </c>
      <c r="AF34" s="149">
        <v>1014</v>
      </c>
      <c r="AG34" s="652">
        <v>750</v>
      </c>
      <c r="AH34" s="149"/>
      <c r="AI34" s="652"/>
      <c r="AJ34" s="149"/>
      <c r="AK34" s="652"/>
      <c r="AL34" s="447"/>
      <c r="AM34" s="652"/>
      <c r="AN34" s="663"/>
      <c r="AO34" s="661"/>
      <c r="AP34" s="149"/>
      <c r="AQ34" s="652"/>
      <c r="AR34" s="148"/>
      <c r="AS34" s="652"/>
      <c r="AT34" s="149"/>
      <c r="AU34" s="652"/>
      <c r="AV34" s="464">
        <f t="shared" si="0"/>
        <v>3225</v>
      </c>
      <c r="AW34" s="464">
        <f t="shared" si="1"/>
        <v>2707</v>
      </c>
      <c r="AX34" s="148">
        <v>12235.05</v>
      </c>
      <c r="AY34" s="652">
        <v>11352.57</v>
      </c>
      <c r="AZ34" s="150">
        <f t="shared" si="2"/>
        <v>15460.05</v>
      </c>
      <c r="BA34" s="912">
        <f t="shared" si="3"/>
        <v>14059.57</v>
      </c>
    </row>
    <row r="35" spans="1:53" x14ac:dyDescent="0.3">
      <c r="A35" s="144" t="s">
        <v>105</v>
      </c>
      <c r="B35" s="145">
        <v>942</v>
      </c>
      <c r="C35" s="652">
        <v>329</v>
      </c>
      <c r="D35" s="149">
        <v>40</v>
      </c>
      <c r="E35" s="652">
        <v>39</v>
      </c>
      <c r="F35" s="149">
        <v>187</v>
      </c>
      <c r="G35" s="652">
        <v>115</v>
      </c>
      <c r="H35" s="149"/>
      <c r="I35" s="652"/>
      <c r="J35" s="149">
        <v>1170</v>
      </c>
      <c r="K35" s="652">
        <v>816</v>
      </c>
      <c r="L35" s="149"/>
      <c r="M35" s="652"/>
      <c r="N35" s="149">
        <v>105</v>
      </c>
      <c r="O35" s="652">
        <v>25</v>
      </c>
      <c r="P35" s="149"/>
      <c r="Q35" s="652"/>
      <c r="R35" s="149"/>
      <c r="S35" s="652"/>
      <c r="T35" s="149"/>
      <c r="U35" s="652"/>
      <c r="V35" s="149"/>
      <c r="W35" s="652"/>
      <c r="X35" s="149"/>
      <c r="Y35" s="652"/>
      <c r="Z35" s="232"/>
      <c r="AA35" s="652"/>
      <c r="AB35" s="149"/>
      <c r="AC35" s="652"/>
      <c r="AD35" s="149">
        <v>450</v>
      </c>
      <c r="AE35" s="652">
        <v>250</v>
      </c>
      <c r="AF35" s="149">
        <v>1859</v>
      </c>
      <c r="AG35" s="652">
        <v>1446</v>
      </c>
      <c r="AH35" s="149"/>
      <c r="AI35" s="652"/>
      <c r="AJ35" s="149"/>
      <c r="AK35" s="652"/>
      <c r="AL35" s="447"/>
      <c r="AM35" s="652"/>
      <c r="AN35" s="663">
        <v>87</v>
      </c>
      <c r="AO35" s="661"/>
      <c r="AP35" s="149"/>
      <c r="AQ35" s="652"/>
      <c r="AR35" s="148"/>
      <c r="AS35" s="652"/>
      <c r="AT35" s="659"/>
      <c r="AU35" s="652"/>
      <c r="AV35" s="464">
        <f t="shared" si="0"/>
        <v>4840</v>
      </c>
      <c r="AW35" s="464">
        <f t="shared" si="1"/>
        <v>3020</v>
      </c>
      <c r="AX35" s="148"/>
      <c r="AY35" s="652"/>
      <c r="AZ35" s="150">
        <f t="shared" si="2"/>
        <v>4840</v>
      </c>
      <c r="BA35" s="912">
        <f t="shared" si="3"/>
        <v>3020</v>
      </c>
    </row>
    <row r="36" spans="1:53" x14ac:dyDescent="0.3">
      <c r="A36" s="144" t="s">
        <v>106</v>
      </c>
      <c r="B36" s="145">
        <v>535</v>
      </c>
      <c r="C36" s="652">
        <v>462</v>
      </c>
      <c r="D36" s="149">
        <v>63</v>
      </c>
      <c r="E36" s="652">
        <v>53</v>
      </c>
      <c r="F36" s="149">
        <v>38</v>
      </c>
      <c r="G36" s="652">
        <v>61</v>
      </c>
      <c r="H36" s="149">
        <f>793+998+6</f>
        <v>1797</v>
      </c>
      <c r="I36" s="652">
        <f>652+17</f>
        <v>669</v>
      </c>
      <c r="J36" s="149">
        <f>(140+444+77+33+559+173)</f>
        <v>1426</v>
      </c>
      <c r="K36" s="652">
        <f>91+409+79+27+251+8</f>
        <v>865</v>
      </c>
      <c r="L36" s="149">
        <v>1172</v>
      </c>
      <c r="M36" s="652">
        <v>1036</v>
      </c>
      <c r="N36" s="149">
        <f>128+70+60</f>
        <v>258</v>
      </c>
      <c r="O36" s="652">
        <f>74+45+190</f>
        <v>309</v>
      </c>
      <c r="P36" s="149">
        <v>153</v>
      </c>
      <c r="Q36" s="652">
        <v>133</v>
      </c>
      <c r="R36" s="149"/>
      <c r="S36" s="652">
        <f>38+147</f>
        <v>185</v>
      </c>
      <c r="T36" s="149">
        <f>41+128</f>
        <v>169</v>
      </c>
      <c r="U36" s="652">
        <v>89</v>
      </c>
      <c r="V36" s="149">
        <f>8689+4933</f>
        <v>13622</v>
      </c>
      <c r="W36" s="652">
        <f>4206+7714</f>
        <v>11920</v>
      </c>
      <c r="X36" s="149">
        <f>402+201+2501+1127-2290</f>
        <v>1941</v>
      </c>
      <c r="Y36" s="652">
        <f>480+2033+881+2151+1281</f>
        <v>6826</v>
      </c>
      <c r="Z36" s="232">
        <f>164+58</f>
        <v>222</v>
      </c>
      <c r="AA36" s="652"/>
      <c r="AB36" s="149">
        <v>69</v>
      </c>
      <c r="AC36" s="652">
        <f>69</f>
        <v>69</v>
      </c>
      <c r="AD36" s="490">
        <f>512+308+425</f>
        <v>1245</v>
      </c>
      <c r="AE36" s="652">
        <f>1203+207+692</f>
        <v>2102</v>
      </c>
      <c r="AF36" s="149">
        <f>716+4645+205</f>
        <v>5566</v>
      </c>
      <c r="AG36" s="652">
        <f>537+2507+200+788</f>
        <v>4032</v>
      </c>
      <c r="AH36" s="149">
        <v>33</v>
      </c>
      <c r="AI36" s="652">
        <v>253</v>
      </c>
      <c r="AJ36" s="149">
        <f>259+234</f>
        <v>493</v>
      </c>
      <c r="AK36" s="652">
        <f>338+374</f>
        <v>712</v>
      </c>
      <c r="AL36" s="447"/>
      <c r="AM36" s="652"/>
      <c r="AN36" s="663">
        <f>3614+1300</f>
        <v>4914</v>
      </c>
      <c r="AO36" s="661">
        <f>3057+948</f>
        <v>4005</v>
      </c>
      <c r="AP36" s="149">
        <f>112+1121</f>
        <v>1233</v>
      </c>
      <c r="AQ36" s="652">
        <f>1027+581</f>
        <v>1608</v>
      </c>
      <c r="AR36" s="148">
        <v>258</v>
      </c>
      <c r="AS36" s="652">
        <v>189</v>
      </c>
      <c r="AT36" s="149">
        <f>75+877</f>
        <v>952</v>
      </c>
      <c r="AU36" s="652">
        <f>65+570</f>
        <v>635</v>
      </c>
      <c r="AV36" s="464">
        <f t="shared" si="0"/>
        <v>36159</v>
      </c>
      <c r="AW36" s="464">
        <f t="shared" si="1"/>
        <v>36213</v>
      </c>
      <c r="AX36" s="149">
        <f>54190.57+3542.54+692.26+1040.08+26428.74+623.64</f>
        <v>86517.83</v>
      </c>
      <c r="AY36" s="652">
        <f>50081+3296.61+528.9+135.58+21320.86+67.97</f>
        <v>75430.920000000013</v>
      </c>
      <c r="AZ36" s="150">
        <f t="shared" si="2"/>
        <v>122676.83</v>
      </c>
      <c r="BA36" s="912">
        <f t="shared" si="3"/>
        <v>111643.92000000001</v>
      </c>
    </row>
    <row r="37" spans="1:53" ht="17.25" thickBot="1" x14ac:dyDescent="0.35">
      <c r="A37" s="152" t="s">
        <v>107</v>
      </c>
      <c r="B37" s="153">
        <v>2420</v>
      </c>
      <c r="C37" s="652">
        <v>1539</v>
      </c>
      <c r="D37" s="655"/>
      <c r="E37" s="652"/>
      <c r="F37" s="655"/>
      <c r="G37" s="652"/>
      <c r="H37" s="655"/>
      <c r="I37" s="652"/>
      <c r="J37" s="655"/>
      <c r="K37" s="652"/>
      <c r="L37" s="655"/>
      <c r="M37" s="652"/>
      <c r="N37" s="655"/>
      <c r="O37" s="652"/>
      <c r="P37" s="655"/>
      <c r="Q37" s="652"/>
      <c r="R37" s="655"/>
      <c r="S37" s="652"/>
      <c r="T37" s="655">
        <v>404</v>
      </c>
      <c r="U37" s="652">
        <v>222</v>
      </c>
      <c r="V37" s="655"/>
      <c r="W37" s="652"/>
      <c r="X37" s="655"/>
      <c r="Y37" s="652"/>
      <c r="Z37" s="668"/>
      <c r="AA37" s="652">
        <f>42+197</f>
        <v>239</v>
      </c>
      <c r="AB37" s="655"/>
      <c r="AC37" s="652"/>
      <c r="AD37" s="667"/>
      <c r="AE37" s="652"/>
      <c r="AF37" s="655"/>
      <c r="AG37" s="652"/>
      <c r="AH37" s="655"/>
      <c r="AI37" s="652"/>
      <c r="AJ37" s="655"/>
      <c r="AK37" s="652"/>
      <c r="AL37" s="665"/>
      <c r="AM37" s="652"/>
      <c r="AN37" s="664"/>
      <c r="AO37" s="661"/>
      <c r="AP37" s="655"/>
      <c r="AQ37" s="652"/>
      <c r="AR37" s="913"/>
      <c r="AS37" s="914"/>
      <c r="AT37" s="655"/>
      <c r="AU37" s="914"/>
      <c r="AV37" s="915">
        <f t="shared" si="0"/>
        <v>2824</v>
      </c>
      <c r="AW37" s="915">
        <f t="shared" si="1"/>
        <v>2000</v>
      </c>
      <c r="AX37" s="655"/>
      <c r="AY37" s="914"/>
      <c r="AZ37" s="916">
        <f t="shared" si="2"/>
        <v>2824</v>
      </c>
      <c r="BA37" s="917">
        <f t="shared" si="3"/>
        <v>2000</v>
      </c>
    </row>
    <row r="38" spans="1:53" s="368" customFormat="1" ht="18.75" thickBot="1" x14ac:dyDescent="0.4">
      <c r="A38" s="557" t="s">
        <v>54</v>
      </c>
      <c r="B38" s="560">
        <f>SUM(B5:B37)</f>
        <v>90787</v>
      </c>
      <c r="C38" s="657">
        <f t="shared" ref="C38:AH38" si="4">SUM(C5:C37)</f>
        <v>66058</v>
      </c>
      <c r="D38" s="560">
        <f t="shared" si="4"/>
        <v>7939</v>
      </c>
      <c r="E38" s="657">
        <f t="shared" si="4"/>
        <v>8612</v>
      </c>
      <c r="F38" s="560">
        <f t="shared" si="4"/>
        <v>13098</v>
      </c>
      <c r="G38" s="657">
        <f t="shared" si="4"/>
        <v>13584</v>
      </c>
      <c r="H38" s="560">
        <f t="shared" si="4"/>
        <v>160431</v>
      </c>
      <c r="I38" s="657">
        <f t="shared" si="4"/>
        <v>115842</v>
      </c>
      <c r="J38" s="560">
        <f t="shared" si="4"/>
        <v>46945</v>
      </c>
      <c r="K38" s="657">
        <f t="shared" si="4"/>
        <v>40305</v>
      </c>
      <c r="L38" s="560">
        <f t="shared" si="4"/>
        <v>39193</v>
      </c>
      <c r="M38" s="657">
        <f t="shared" si="4"/>
        <v>31424</v>
      </c>
      <c r="N38" s="560">
        <f t="shared" si="4"/>
        <v>13551</v>
      </c>
      <c r="O38" s="657">
        <f t="shared" si="4"/>
        <v>12725</v>
      </c>
      <c r="P38" s="560">
        <f t="shared" si="4"/>
        <v>25978</v>
      </c>
      <c r="Q38" s="657">
        <f t="shared" si="4"/>
        <v>23987</v>
      </c>
      <c r="R38" s="560">
        <f t="shared" si="4"/>
        <v>0</v>
      </c>
      <c r="S38" s="657">
        <f t="shared" si="4"/>
        <v>32206</v>
      </c>
      <c r="T38" s="560">
        <f t="shared" si="4"/>
        <v>25900</v>
      </c>
      <c r="U38" s="657">
        <f t="shared" si="4"/>
        <v>22093</v>
      </c>
      <c r="V38" s="560">
        <f>SUM(V5:V37)</f>
        <v>307954</v>
      </c>
      <c r="W38" s="657">
        <f t="shared" si="4"/>
        <v>230112</v>
      </c>
      <c r="X38" s="560">
        <f t="shared" si="4"/>
        <v>197190</v>
      </c>
      <c r="Y38" s="657">
        <f t="shared" si="4"/>
        <v>153649</v>
      </c>
      <c r="Z38" s="560">
        <f t="shared" si="4"/>
        <v>16149</v>
      </c>
      <c r="AA38" s="657">
        <f t="shared" si="4"/>
        <v>12551</v>
      </c>
      <c r="AB38" s="560">
        <f t="shared" si="4"/>
        <v>41125</v>
      </c>
      <c r="AC38" s="657">
        <f t="shared" si="4"/>
        <v>30435.43</v>
      </c>
      <c r="AD38" s="560">
        <f t="shared" si="4"/>
        <v>83176</v>
      </c>
      <c r="AE38" s="657">
        <f t="shared" si="4"/>
        <v>74055</v>
      </c>
      <c r="AF38" s="560">
        <f t="shared" si="4"/>
        <v>150771</v>
      </c>
      <c r="AG38" s="657">
        <f t="shared" si="4"/>
        <v>138489</v>
      </c>
      <c r="AH38" s="560">
        <f t="shared" si="4"/>
        <v>66889</v>
      </c>
      <c r="AI38" s="657">
        <f t="shared" ref="AI38:AU38" si="5">SUM(AI5:AI37)</f>
        <v>50899</v>
      </c>
      <c r="AJ38" s="560">
        <f t="shared" si="5"/>
        <v>57537</v>
      </c>
      <c r="AK38" s="657">
        <f t="shared" si="5"/>
        <v>51078</v>
      </c>
      <c r="AL38" s="560">
        <f t="shared" si="5"/>
        <v>0</v>
      </c>
      <c r="AM38" s="657">
        <f t="shared" si="5"/>
        <v>0</v>
      </c>
      <c r="AN38" s="560">
        <f t="shared" si="5"/>
        <v>157681</v>
      </c>
      <c r="AO38" s="657">
        <f t="shared" si="5"/>
        <v>133259</v>
      </c>
      <c r="AP38" s="560">
        <f t="shared" si="5"/>
        <v>25587.09</v>
      </c>
      <c r="AQ38" s="657">
        <f t="shared" si="5"/>
        <v>24269</v>
      </c>
      <c r="AR38" s="924">
        <f t="shared" si="5"/>
        <v>31085</v>
      </c>
      <c r="AS38" s="925">
        <f t="shared" si="5"/>
        <v>21630</v>
      </c>
      <c r="AT38" s="924">
        <f t="shared" si="5"/>
        <v>170646</v>
      </c>
      <c r="AU38" s="925">
        <f t="shared" si="5"/>
        <v>109421</v>
      </c>
      <c r="AV38" s="926">
        <f>SUM(B38+D38+F38+H38+J38+L38+N38+P38+R38+T38+V38+X38+Z38+AB38+AD38+AF38+AH38+AJ38+AL38+AN38+AP38+AR38+AT38)</f>
        <v>1729612.09</v>
      </c>
      <c r="AW38" s="927">
        <f>SUM(C38+E38+G38+I38+K38+M38+O38+Q38+S38+U38+W38+Y38+AA38+AC38+AE38+AG38+AI38+AK38+AM38+AO38+AQ38+AS38+AU38)</f>
        <v>1396683.4300000002</v>
      </c>
      <c r="AX38" s="928">
        <f>SUM(AX5:AX37)</f>
        <v>2465837.77</v>
      </c>
      <c r="AY38" s="928">
        <f>SUM(AY5:AY37)</f>
        <v>1871732.88</v>
      </c>
      <c r="AZ38" s="926">
        <f>AV38+AX38</f>
        <v>4195449.8600000003</v>
      </c>
      <c r="BA38" s="929">
        <f>AW38+AY38</f>
        <v>3268416.31</v>
      </c>
    </row>
    <row r="39" spans="1:53" x14ac:dyDescent="0.3">
      <c r="A39" s="558" t="s">
        <v>108</v>
      </c>
      <c r="B39" s="561"/>
      <c r="C39" s="654"/>
      <c r="D39" s="656"/>
      <c r="E39" s="653"/>
      <c r="F39" s="656"/>
      <c r="G39" s="653"/>
      <c r="H39" s="656"/>
      <c r="I39" s="653"/>
      <c r="J39" s="656"/>
      <c r="K39" s="653"/>
      <c r="L39" s="656"/>
      <c r="M39" s="653"/>
      <c r="N39" s="656"/>
      <c r="O39" s="653"/>
      <c r="P39" s="656"/>
      <c r="Q39" s="653"/>
      <c r="R39" s="656"/>
      <c r="S39" s="653"/>
      <c r="T39" s="656"/>
      <c r="U39" s="653"/>
      <c r="V39" s="656"/>
      <c r="W39" s="653"/>
      <c r="X39" s="656"/>
      <c r="Y39" s="653"/>
      <c r="Z39" s="660"/>
      <c r="AA39" s="658"/>
      <c r="AB39" s="656"/>
      <c r="AC39" s="653"/>
      <c r="AD39" s="656"/>
      <c r="AE39" s="653"/>
      <c r="AF39" s="656"/>
      <c r="AG39" s="653"/>
      <c r="AH39" s="656"/>
      <c r="AI39" s="653"/>
      <c r="AJ39" s="656"/>
      <c r="AK39" s="653"/>
      <c r="AL39" s="666"/>
      <c r="AM39" s="653"/>
      <c r="AN39" s="656"/>
      <c r="AO39" s="653"/>
      <c r="AP39" s="656"/>
      <c r="AQ39" s="653"/>
      <c r="AR39" s="918"/>
      <c r="AS39" s="919"/>
      <c r="AT39" s="920"/>
      <c r="AU39" s="921"/>
      <c r="AV39" s="464">
        <f>SUM(B39+D39+F39+H39+J39+L39+N39+P39+R39+T39+V39+X39+Z39+AB39+AD39+AF39+AH39+AJ39+AL39+AN39+AP39+AR39+AT39)</f>
        <v>0</v>
      </c>
      <c r="AW39" s="922">
        <f>SUM(C39+E39+G39+I39+K39+M39+O39+Q39+S39+U39+W39+Y39+AA39+AC39+AE39+AG39+AI39+AK39+AM39+AO39+AQ39+AS39+AU39)</f>
        <v>0</v>
      </c>
      <c r="AX39" s="920"/>
      <c r="AY39" s="921"/>
      <c r="AZ39" s="464">
        <f>AV39+AX39</f>
        <v>0</v>
      </c>
      <c r="BA39" s="923"/>
    </row>
    <row r="40" spans="1:53" ht="17.25" thickBot="1" x14ac:dyDescent="0.35">
      <c r="A40" s="559"/>
      <c r="B40" s="408"/>
      <c r="C40" s="451"/>
      <c r="D40" s="408"/>
      <c r="E40" s="451"/>
      <c r="F40" s="408"/>
      <c r="G40" s="451"/>
      <c r="H40" s="408"/>
      <c r="I40" s="451"/>
      <c r="J40" s="408"/>
      <c r="K40" s="451"/>
      <c r="L40" s="408"/>
      <c r="M40" s="451"/>
      <c r="N40" s="408"/>
      <c r="O40" s="451"/>
      <c r="P40" s="408"/>
      <c r="Q40" s="451"/>
      <c r="R40" s="408"/>
      <c r="S40" s="451"/>
      <c r="T40" s="408"/>
      <c r="U40" s="451"/>
      <c r="V40" s="408"/>
      <c r="W40" s="451"/>
      <c r="X40" s="408"/>
      <c r="Y40" s="451"/>
      <c r="Z40" s="408"/>
      <c r="AA40" s="451"/>
      <c r="AB40" s="408"/>
      <c r="AC40" s="451"/>
      <c r="AD40" s="408"/>
      <c r="AE40" s="451"/>
      <c r="AF40" s="408"/>
      <c r="AG40" s="451"/>
      <c r="AH40" s="408"/>
      <c r="AI40" s="451"/>
      <c r="AJ40" s="408"/>
      <c r="AK40" s="451"/>
      <c r="AL40" s="408"/>
      <c r="AM40" s="451"/>
      <c r="AN40" s="408"/>
      <c r="AO40" s="451"/>
      <c r="AP40" s="408"/>
      <c r="AQ40" s="451"/>
      <c r="AR40" s="408"/>
      <c r="AS40" s="451"/>
      <c r="AT40" s="408"/>
      <c r="AU40" s="451"/>
      <c r="AV40" s="408"/>
      <c r="AW40" s="451"/>
      <c r="AX40" s="408"/>
      <c r="AY40" s="451"/>
      <c r="AZ40" s="408"/>
      <c r="BA40" s="409"/>
    </row>
  </sheetData>
  <mergeCells count="29">
    <mergeCell ref="AF3:AG3"/>
    <mergeCell ref="AH3:AI3"/>
    <mergeCell ref="X3:Y3"/>
    <mergeCell ref="F3:G3"/>
    <mergeCell ref="H3:I3"/>
    <mergeCell ref="J3:K3"/>
    <mergeCell ref="L3:M3"/>
    <mergeCell ref="N3:O3"/>
    <mergeCell ref="T3:U3"/>
    <mergeCell ref="V3:W3"/>
    <mergeCell ref="Z3:AA3"/>
    <mergeCell ref="AB3:AC3"/>
    <mergeCell ref="AD3:AE3"/>
    <mergeCell ref="AT3:AU3"/>
    <mergeCell ref="AV3:AW3"/>
    <mergeCell ref="AX3:AY3"/>
    <mergeCell ref="A1:AZ1"/>
    <mergeCell ref="A2:AZ2"/>
    <mergeCell ref="A3:A4"/>
    <mergeCell ref="B3:C3"/>
    <mergeCell ref="D3:E3"/>
    <mergeCell ref="AJ3:AK3"/>
    <mergeCell ref="AZ3:BA3"/>
    <mergeCell ref="AN3:AO3"/>
    <mergeCell ref="AP3:AQ3"/>
    <mergeCell ref="AR3:AS3"/>
    <mergeCell ref="AL3:AM3"/>
    <mergeCell ref="P3:Q3"/>
    <mergeCell ref="R3:S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BG39"/>
  <sheetViews>
    <sheetView topLeftCell="A29" workbookViewId="0">
      <pane xSplit="1" topLeftCell="B1" activePane="topRight" state="frozen"/>
      <selection pane="topRight" activeCell="BB29" sqref="BB29"/>
    </sheetView>
  </sheetViews>
  <sheetFormatPr defaultRowHeight="15" x14ac:dyDescent="0.25"/>
  <cols>
    <col min="1" max="1" width="22.28515625" style="128" customWidth="1"/>
    <col min="2" max="21" width="12.42578125" bestFit="1" customWidth="1"/>
    <col min="22" max="23" width="12.42578125" style="126" bestFit="1" customWidth="1"/>
    <col min="24" max="41" width="12.42578125" bestFit="1" customWidth="1"/>
    <col min="42" max="47" width="12.42578125" style="126" bestFit="1" customWidth="1"/>
    <col min="48" max="53" width="12.42578125" style="127" bestFit="1" customWidth="1"/>
    <col min="57" max="57" width="7.7109375" bestFit="1" customWidth="1"/>
    <col min="58" max="58" width="5.5703125" bestFit="1" customWidth="1"/>
    <col min="59" max="59" width="11.5703125" customWidth="1"/>
  </cols>
  <sheetData>
    <row r="1" spans="1:59" s="61" customFormat="1" ht="13.5" customHeight="1" x14ac:dyDescent="0.35">
      <c r="A1" s="1075" t="s">
        <v>145</v>
      </c>
      <c r="B1" s="1075"/>
      <c r="C1" s="1075"/>
      <c r="D1" s="1075"/>
      <c r="E1" s="1075"/>
      <c r="F1" s="1075"/>
      <c r="G1" s="1075"/>
      <c r="H1" s="1075"/>
      <c r="I1" s="1075"/>
      <c r="J1" s="1075"/>
      <c r="K1" s="1075"/>
      <c r="L1" s="1075"/>
      <c r="M1" s="1075"/>
      <c r="N1" s="1075"/>
      <c r="O1" s="1075"/>
      <c r="P1" s="1075"/>
      <c r="Q1" s="1075"/>
      <c r="R1" s="1075"/>
      <c r="S1" s="1075"/>
      <c r="T1" s="1075"/>
      <c r="U1" s="1075"/>
      <c r="V1" s="1075"/>
      <c r="W1" s="1075"/>
      <c r="X1" s="1075"/>
      <c r="Y1" s="1075"/>
      <c r="Z1" s="1075"/>
      <c r="AA1" s="1075"/>
      <c r="AB1" s="1075"/>
      <c r="AC1" s="1075"/>
      <c r="AD1" s="1075"/>
      <c r="AE1" s="1075"/>
      <c r="AF1" s="1075"/>
      <c r="AG1" s="1075"/>
      <c r="AH1" s="1075"/>
      <c r="AI1" s="1075"/>
      <c r="AJ1" s="1075"/>
      <c r="AK1" s="1075"/>
      <c r="AL1" s="1075"/>
      <c r="AM1" s="1075"/>
      <c r="AN1" s="1075"/>
      <c r="AO1" s="1075"/>
      <c r="AP1" s="1075"/>
      <c r="AQ1" s="1075"/>
      <c r="AR1" s="1075"/>
      <c r="AS1" s="1075"/>
      <c r="AT1" s="1075"/>
      <c r="AU1" s="1075"/>
      <c r="AV1" s="1075"/>
      <c r="AW1" s="1075"/>
      <c r="AX1" s="1075"/>
      <c r="AY1" s="1075"/>
      <c r="AZ1" s="1075"/>
      <c r="BA1" s="95"/>
    </row>
    <row r="2" spans="1:59" s="61" customFormat="1" ht="14.25" customHeight="1" thickBot="1" x14ac:dyDescent="0.35">
      <c r="A2" s="1076" t="s">
        <v>362</v>
      </c>
      <c r="B2" s="1076"/>
      <c r="C2" s="1076"/>
      <c r="D2" s="1076"/>
      <c r="E2" s="1076"/>
      <c r="F2" s="1076"/>
      <c r="G2" s="1076"/>
      <c r="H2" s="1076"/>
      <c r="I2" s="1076"/>
      <c r="J2" s="1076"/>
      <c r="K2" s="1076"/>
      <c r="L2" s="1076"/>
      <c r="M2" s="1076"/>
      <c r="N2" s="1076"/>
      <c r="O2" s="1076"/>
      <c r="P2" s="1076"/>
      <c r="Q2" s="1076"/>
      <c r="R2" s="1076"/>
      <c r="S2" s="1076"/>
      <c r="T2" s="1076"/>
      <c r="U2" s="1076"/>
      <c r="V2" s="1076"/>
      <c r="W2" s="1076"/>
      <c r="X2" s="1076"/>
      <c r="Y2" s="1076"/>
      <c r="Z2" s="1076"/>
      <c r="AA2" s="1076"/>
      <c r="AB2" s="1076"/>
      <c r="AC2" s="1076"/>
      <c r="AD2" s="1076"/>
      <c r="AE2" s="1076"/>
      <c r="AF2" s="1076"/>
      <c r="AG2" s="1076"/>
      <c r="AH2" s="1076"/>
      <c r="AI2" s="1076"/>
      <c r="AJ2" s="1076"/>
      <c r="AK2" s="1076"/>
      <c r="AL2" s="1076"/>
      <c r="AM2" s="1076"/>
      <c r="AN2" s="1076"/>
      <c r="AO2" s="1076"/>
      <c r="AP2" s="1076"/>
      <c r="AQ2" s="1076"/>
      <c r="AR2" s="1076"/>
      <c r="AS2" s="1076"/>
      <c r="AT2" s="1076"/>
      <c r="AU2" s="1076"/>
      <c r="AV2" s="1076"/>
      <c r="AW2" s="1076"/>
      <c r="AX2" s="1076"/>
      <c r="AY2" s="1076"/>
      <c r="AZ2" s="1076"/>
      <c r="BA2" s="95"/>
    </row>
    <row r="3" spans="1:59" s="294" customFormat="1" ht="57.75" customHeight="1" thickBot="1" x14ac:dyDescent="0.35">
      <c r="A3" s="1077" t="s">
        <v>0</v>
      </c>
      <c r="B3" s="1080" t="s">
        <v>149</v>
      </c>
      <c r="C3" s="1081"/>
      <c r="D3" s="1082" t="s">
        <v>150</v>
      </c>
      <c r="E3" s="1083"/>
      <c r="F3" s="1082" t="s">
        <v>151</v>
      </c>
      <c r="G3" s="1079"/>
      <c r="H3" s="1082" t="s">
        <v>152</v>
      </c>
      <c r="I3" s="1079"/>
      <c r="J3" s="1082" t="s">
        <v>153</v>
      </c>
      <c r="K3" s="1083"/>
      <c r="L3" s="1079" t="s">
        <v>154</v>
      </c>
      <c r="M3" s="1079"/>
      <c r="N3" s="1082" t="s">
        <v>253</v>
      </c>
      <c r="O3" s="1083"/>
      <c r="P3" s="1079" t="s">
        <v>155</v>
      </c>
      <c r="Q3" s="1079"/>
      <c r="R3" s="1082" t="s">
        <v>156</v>
      </c>
      <c r="S3" s="1079"/>
      <c r="T3" s="1082" t="s">
        <v>157</v>
      </c>
      <c r="U3" s="1079"/>
      <c r="V3" s="1084" t="s">
        <v>158</v>
      </c>
      <c r="W3" s="1085"/>
      <c r="X3" s="1082" t="s">
        <v>159</v>
      </c>
      <c r="Y3" s="1079"/>
      <c r="Z3" s="1082" t="s">
        <v>359</v>
      </c>
      <c r="AA3" s="1079"/>
      <c r="AB3" s="1082" t="s">
        <v>160</v>
      </c>
      <c r="AC3" s="1079"/>
      <c r="AD3" s="1082" t="s">
        <v>161</v>
      </c>
      <c r="AE3" s="1079"/>
      <c r="AF3" s="1082" t="s">
        <v>162</v>
      </c>
      <c r="AG3" s="1079"/>
      <c r="AH3" s="1082" t="s">
        <v>163</v>
      </c>
      <c r="AI3" s="1079"/>
      <c r="AJ3" s="1082" t="s">
        <v>164</v>
      </c>
      <c r="AK3" s="1079"/>
      <c r="AL3" s="1082" t="s">
        <v>256</v>
      </c>
      <c r="AM3" s="1083"/>
      <c r="AN3" s="1082" t="s">
        <v>166</v>
      </c>
      <c r="AO3" s="1083"/>
      <c r="AP3" s="1084" t="s">
        <v>167</v>
      </c>
      <c r="AQ3" s="1087"/>
      <c r="AR3" s="1084" t="s">
        <v>168</v>
      </c>
      <c r="AS3" s="1087"/>
      <c r="AT3" s="1084" t="s">
        <v>169</v>
      </c>
      <c r="AU3" s="1087"/>
      <c r="AV3" s="1084" t="s">
        <v>1</v>
      </c>
      <c r="AW3" s="1087"/>
      <c r="AX3" s="1084" t="s">
        <v>170</v>
      </c>
      <c r="AY3" s="1087"/>
      <c r="AZ3" s="1085" t="s">
        <v>2</v>
      </c>
      <c r="BA3" s="1086"/>
    </row>
    <row r="4" spans="1:59" s="335" customFormat="1" ht="15" customHeight="1" thickBot="1" x14ac:dyDescent="0.35">
      <c r="A4" s="1078"/>
      <c r="B4" s="401" t="s">
        <v>370</v>
      </c>
      <c r="C4" s="380" t="s">
        <v>353</v>
      </c>
      <c r="D4" s="401" t="s">
        <v>370</v>
      </c>
      <c r="E4" s="380" t="s">
        <v>353</v>
      </c>
      <c r="F4" s="401" t="s">
        <v>370</v>
      </c>
      <c r="G4" s="380" t="s">
        <v>353</v>
      </c>
      <c r="H4" s="401" t="s">
        <v>370</v>
      </c>
      <c r="I4" s="380" t="s">
        <v>353</v>
      </c>
      <c r="J4" s="401" t="s">
        <v>370</v>
      </c>
      <c r="K4" s="380" t="s">
        <v>353</v>
      </c>
      <c r="L4" s="401" t="s">
        <v>370</v>
      </c>
      <c r="M4" s="380" t="s">
        <v>353</v>
      </c>
      <c r="N4" s="401" t="s">
        <v>370</v>
      </c>
      <c r="O4" s="380" t="s">
        <v>353</v>
      </c>
      <c r="P4" s="401" t="s">
        <v>370</v>
      </c>
      <c r="Q4" s="380" t="s">
        <v>353</v>
      </c>
      <c r="R4" s="401" t="s">
        <v>370</v>
      </c>
      <c r="S4" s="380" t="s">
        <v>353</v>
      </c>
      <c r="T4" s="401" t="s">
        <v>370</v>
      </c>
      <c r="U4" s="380" t="s">
        <v>353</v>
      </c>
      <c r="V4" s="401" t="s">
        <v>370</v>
      </c>
      <c r="W4" s="380" t="s">
        <v>353</v>
      </c>
      <c r="X4" s="401" t="s">
        <v>370</v>
      </c>
      <c r="Y4" s="380" t="s">
        <v>353</v>
      </c>
      <c r="Z4" s="401" t="s">
        <v>370</v>
      </c>
      <c r="AA4" s="380" t="s">
        <v>353</v>
      </c>
      <c r="AB4" s="401" t="s">
        <v>370</v>
      </c>
      <c r="AC4" s="380" t="s">
        <v>353</v>
      </c>
      <c r="AD4" s="401" t="s">
        <v>370</v>
      </c>
      <c r="AE4" s="380" t="s">
        <v>353</v>
      </c>
      <c r="AF4" s="401" t="s">
        <v>370</v>
      </c>
      <c r="AG4" s="380" t="s">
        <v>353</v>
      </c>
      <c r="AH4" s="401" t="s">
        <v>370</v>
      </c>
      <c r="AI4" s="380" t="s">
        <v>353</v>
      </c>
      <c r="AJ4" s="401" t="s">
        <v>370</v>
      </c>
      <c r="AK4" s="380" t="s">
        <v>353</v>
      </c>
      <c r="AL4" s="401" t="s">
        <v>370</v>
      </c>
      <c r="AM4" s="380" t="s">
        <v>353</v>
      </c>
      <c r="AN4" s="401" t="s">
        <v>370</v>
      </c>
      <c r="AO4" s="380" t="s">
        <v>353</v>
      </c>
      <c r="AP4" s="401" t="s">
        <v>370</v>
      </c>
      <c r="AQ4" s="380" t="s">
        <v>353</v>
      </c>
      <c r="AR4" s="401" t="s">
        <v>370</v>
      </c>
      <c r="AS4" s="380" t="s">
        <v>353</v>
      </c>
      <c r="AT4" s="401" t="s">
        <v>370</v>
      </c>
      <c r="AU4" s="380" t="s">
        <v>353</v>
      </c>
      <c r="AV4" s="401" t="s">
        <v>370</v>
      </c>
      <c r="AW4" s="380" t="s">
        <v>353</v>
      </c>
      <c r="AX4" s="401" t="s">
        <v>370</v>
      </c>
      <c r="AY4" s="380" t="s">
        <v>353</v>
      </c>
      <c r="AZ4" s="387" t="s">
        <v>370</v>
      </c>
      <c r="BA4" s="380" t="s">
        <v>353</v>
      </c>
    </row>
    <row r="5" spans="1:59" s="65" customFormat="1" ht="15" customHeight="1" x14ac:dyDescent="0.3">
      <c r="A5" s="300" t="s">
        <v>30</v>
      </c>
      <c r="B5" s="129"/>
      <c r="C5" s="131"/>
      <c r="D5" s="129"/>
      <c r="E5" s="131"/>
      <c r="F5" s="135"/>
      <c r="G5" s="138"/>
      <c r="H5" s="137"/>
      <c r="I5" s="138"/>
      <c r="J5" s="137"/>
      <c r="K5" s="133"/>
      <c r="L5" s="135"/>
      <c r="M5" s="138"/>
      <c r="N5" s="137"/>
      <c r="O5" s="133"/>
      <c r="P5" s="132"/>
      <c r="Q5" s="130"/>
      <c r="R5" s="130"/>
      <c r="S5" s="136"/>
      <c r="T5" s="129"/>
      <c r="U5" s="136"/>
      <c r="V5" s="137"/>
      <c r="W5" s="138"/>
      <c r="X5" s="129"/>
      <c r="Y5" s="136"/>
      <c r="Z5" s="162"/>
      <c r="AA5" s="164"/>
      <c r="AB5" s="132"/>
      <c r="AC5" s="136"/>
      <c r="AD5" s="129"/>
      <c r="AE5" s="136"/>
      <c r="AF5" s="129"/>
      <c r="AG5" s="136"/>
      <c r="AH5" s="129"/>
      <c r="AI5" s="136"/>
      <c r="AJ5" s="129"/>
      <c r="AK5" s="136"/>
      <c r="AL5" s="162"/>
      <c r="AM5" s="778"/>
      <c r="AN5" s="162"/>
      <c r="AO5" s="164"/>
      <c r="AP5" s="134"/>
      <c r="AQ5" s="133"/>
      <c r="AR5" s="137"/>
      <c r="AS5" s="133"/>
      <c r="AT5" s="137"/>
      <c r="AU5" s="133"/>
      <c r="AV5" s="137"/>
      <c r="AW5" s="133"/>
      <c r="AX5" s="137"/>
      <c r="AY5" s="133"/>
      <c r="AZ5" s="134"/>
      <c r="BA5" s="139"/>
    </row>
    <row r="6" spans="1:59" s="65" customFormat="1" ht="14.25" x14ac:dyDescent="0.3">
      <c r="A6" s="299" t="s">
        <v>31</v>
      </c>
      <c r="B6" s="96">
        <v>38338</v>
      </c>
      <c r="C6" s="66">
        <v>109212</v>
      </c>
      <c r="D6" s="67">
        <v>4616</v>
      </c>
      <c r="E6" s="69">
        <v>26063</v>
      </c>
      <c r="F6" s="72">
        <v>5887</v>
      </c>
      <c r="G6" s="81">
        <v>24378</v>
      </c>
      <c r="H6" s="71">
        <v>94689</v>
      </c>
      <c r="I6" s="81">
        <v>139809</v>
      </c>
      <c r="J6" s="71">
        <v>11618</v>
      </c>
      <c r="K6" s="73">
        <v>26759</v>
      </c>
      <c r="L6" s="72">
        <v>21627</v>
      </c>
      <c r="M6" s="81">
        <v>47178</v>
      </c>
      <c r="N6" s="71">
        <v>9170</v>
      </c>
      <c r="O6" s="556">
        <v>23158</v>
      </c>
      <c r="P6" s="97">
        <v>5635</v>
      </c>
      <c r="Q6" s="68">
        <v>17885</v>
      </c>
      <c r="R6" s="68"/>
      <c r="S6" s="70">
        <v>48649</v>
      </c>
      <c r="T6" s="67">
        <v>5486</v>
      </c>
      <c r="U6" s="70">
        <v>21254</v>
      </c>
      <c r="V6" s="97">
        <v>177155</v>
      </c>
      <c r="W6" s="81">
        <v>364338</v>
      </c>
      <c r="X6" s="67">
        <v>156793</v>
      </c>
      <c r="Y6" s="70">
        <v>178190</v>
      </c>
      <c r="Z6" s="783">
        <v>5337</v>
      </c>
      <c r="AA6" s="75">
        <v>3574</v>
      </c>
      <c r="AB6" s="97">
        <v>36674.61</v>
      </c>
      <c r="AC6" s="70">
        <v>68578.7</v>
      </c>
      <c r="AD6" s="67">
        <v>71899</v>
      </c>
      <c r="AE6" s="70">
        <v>138294</v>
      </c>
      <c r="AF6" s="67">
        <v>85728</v>
      </c>
      <c r="AG6" s="70">
        <v>242519</v>
      </c>
      <c r="AH6" s="67">
        <v>45333</v>
      </c>
      <c r="AI6" s="70">
        <v>117837</v>
      </c>
      <c r="AJ6" s="67">
        <v>11102</v>
      </c>
      <c r="AK6" s="70">
        <v>24466</v>
      </c>
      <c r="AL6" s="67"/>
      <c r="AM6" s="70"/>
      <c r="AN6" s="165">
        <v>151466</v>
      </c>
      <c r="AO6" s="166">
        <v>369472</v>
      </c>
      <c r="AP6" s="98">
        <v>19133.79</v>
      </c>
      <c r="AQ6" s="73">
        <v>28592</v>
      </c>
      <c r="AR6" s="86">
        <v>27547</v>
      </c>
      <c r="AS6" s="88">
        <v>41596</v>
      </c>
      <c r="AT6" s="71">
        <v>52872</v>
      </c>
      <c r="AU6" s="73">
        <v>141496</v>
      </c>
      <c r="AV6" s="90">
        <f>SUM(B6+D6+F6+H6+J6+L6+N6+P6+R6+T6+V6+X6+Z6+AB6+AD6+AF6+AH6+AJ6+AL6+AN6+AP6+AR6+AT6)</f>
        <v>1038106.4</v>
      </c>
      <c r="AW6" s="101">
        <f>SUM(C6+E6+G6+I6+K6+M6+O6+Q6+S6+U6+W6+Y6+AA6+AC6+AE6+AG6+AI6+AK6+AM6+AO6+AQ6+AS6+AU6)</f>
        <v>2203297.7000000002</v>
      </c>
      <c r="AX6" s="86">
        <v>1180722.57</v>
      </c>
      <c r="AY6" s="88">
        <v>2171492.9300000002</v>
      </c>
      <c r="AZ6" s="99">
        <f>AV6+AX6</f>
        <v>2218828.9700000002</v>
      </c>
      <c r="BA6" s="99">
        <f>AW6+AY6</f>
        <v>4374790.6300000008</v>
      </c>
    </row>
    <row r="7" spans="1:59" s="65" customFormat="1" ht="14.25" x14ac:dyDescent="0.3">
      <c r="A7" s="299" t="s">
        <v>32</v>
      </c>
      <c r="B7" s="96">
        <v>34043</v>
      </c>
      <c r="C7" s="66">
        <v>70374</v>
      </c>
      <c r="D7" s="67">
        <v>294</v>
      </c>
      <c r="E7" s="69">
        <v>1484</v>
      </c>
      <c r="F7" s="72">
        <v>12272</v>
      </c>
      <c r="G7" s="81">
        <v>8477</v>
      </c>
      <c r="H7" s="71">
        <v>66182</v>
      </c>
      <c r="I7" s="81">
        <v>60102</v>
      </c>
      <c r="J7" s="71">
        <v>1804</v>
      </c>
      <c r="K7" s="73">
        <v>2013</v>
      </c>
      <c r="L7" s="72">
        <v>7926</v>
      </c>
      <c r="M7" s="81">
        <v>14409</v>
      </c>
      <c r="N7" s="71">
        <v>2943</v>
      </c>
      <c r="O7" s="556">
        <v>1853</v>
      </c>
      <c r="P7" s="97">
        <v>123</v>
      </c>
      <c r="Q7" s="68">
        <v>46</v>
      </c>
      <c r="R7" s="68"/>
      <c r="S7" s="70">
        <v>29001</v>
      </c>
      <c r="T7" s="67">
        <v>2117</v>
      </c>
      <c r="U7" s="70">
        <v>2464</v>
      </c>
      <c r="V7" s="97">
        <v>297374</v>
      </c>
      <c r="W7" s="81">
        <v>371254</v>
      </c>
      <c r="X7" s="67">
        <v>140672</v>
      </c>
      <c r="Y7" s="70">
        <v>91114</v>
      </c>
      <c r="Z7" s="783">
        <v>12179</v>
      </c>
      <c r="AA7" s="75">
        <v>8592</v>
      </c>
      <c r="AB7" s="97">
        <v>9065.9500000000007</v>
      </c>
      <c r="AC7" s="70">
        <v>4064.96</v>
      </c>
      <c r="AD7" s="67">
        <v>92048</v>
      </c>
      <c r="AE7" s="70">
        <v>94353</v>
      </c>
      <c r="AF7" s="67">
        <v>42384</v>
      </c>
      <c r="AG7" s="70">
        <v>39275</v>
      </c>
      <c r="AH7" s="67">
        <v>12734</v>
      </c>
      <c r="AI7" s="70">
        <v>7050</v>
      </c>
      <c r="AJ7" s="67">
        <v>27421</v>
      </c>
      <c r="AK7" s="70">
        <v>51426</v>
      </c>
      <c r="AL7" s="67"/>
      <c r="AM7" s="70"/>
      <c r="AN7" s="165">
        <v>249028</v>
      </c>
      <c r="AO7" s="166">
        <v>681561</v>
      </c>
      <c r="AP7" s="98">
        <v>5299.96</v>
      </c>
      <c r="AQ7" s="73">
        <v>5739</v>
      </c>
      <c r="AR7" s="86">
        <v>15270</v>
      </c>
      <c r="AS7" s="88">
        <v>14926</v>
      </c>
      <c r="AT7" s="71">
        <v>26325</v>
      </c>
      <c r="AU7" s="73">
        <v>32305</v>
      </c>
      <c r="AV7" s="90">
        <f t="shared" ref="AV7:AV38" si="0">SUM(B7+D7+F7+H7+J7+L7+N7+P7+R7+T7+V7+X7+Z7+AB7+AD7+AF7+AH7+AJ7+AL7+AN7+AP7+AR7+AT7)</f>
        <v>1057504.9099999999</v>
      </c>
      <c r="AW7" s="101">
        <f t="shared" ref="AW7:AW38" si="1">SUM(C7+E7+G7+I7+K7+M7+O7+Q7+S7+U7+W7+Y7+AA7+AC7+AE7+AG7+AI7+AK7+AM7+AO7+AQ7+AS7+AU7)</f>
        <v>1591882.96</v>
      </c>
      <c r="AX7" s="86">
        <v>7298805.7400000002</v>
      </c>
      <c r="AY7" s="88">
        <v>7814628.2000000002</v>
      </c>
      <c r="AZ7" s="99">
        <f t="shared" ref="AZ7:AZ38" si="2">AV7+AX7</f>
        <v>8356310.6500000004</v>
      </c>
      <c r="BA7" s="99">
        <f>AW7+AY7</f>
        <v>9406511.1600000001</v>
      </c>
    </row>
    <row r="8" spans="1:59" s="65" customFormat="1" ht="14.25" x14ac:dyDescent="0.3">
      <c r="A8" s="299" t="s">
        <v>33</v>
      </c>
      <c r="B8" s="96">
        <v>1347</v>
      </c>
      <c r="C8" s="66">
        <v>950</v>
      </c>
      <c r="D8" s="67">
        <v>1</v>
      </c>
      <c r="E8" s="69">
        <v>1</v>
      </c>
      <c r="F8" s="72">
        <v>3268</v>
      </c>
      <c r="G8" s="81">
        <v>2445</v>
      </c>
      <c r="H8" s="71">
        <v>1887</v>
      </c>
      <c r="I8" s="81">
        <v>1174</v>
      </c>
      <c r="J8" s="71"/>
      <c r="K8" s="73"/>
      <c r="L8" s="72">
        <v>2291</v>
      </c>
      <c r="M8" s="81">
        <v>1687</v>
      </c>
      <c r="N8" s="71">
        <v>4</v>
      </c>
      <c r="O8" s="556"/>
      <c r="P8" s="97">
        <v>146</v>
      </c>
      <c r="Q8" s="68">
        <v>92</v>
      </c>
      <c r="R8" s="68"/>
      <c r="S8" s="70">
        <v>556</v>
      </c>
      <c r="T8" s="67">
        <v>35</v>
      </c>
      <c r="U8" s="70">
        <v>25</v>
      </c>
      <c r="V8" s="71">
        <v>44483</v>
      </c>
      <c r="W8" s="81">
        <v>30044</v>
      </c>
      <c r="X8" s="67">
        <v>24623</v>
      </c>
      <c r="Y8" s="70">
        <v>9891</v>
      </c>
      <c r="Z8" s="783">
        <v>212</v>
      </c>
      <c r="AA8" s="75">
        <v>18</v>
      </c>
      <c r="AB8" s="97">
        <v>91.93</v>
      </c>
      <c r="AC8" s="70">
        <v>24.92</v>
      </c>
      <c r="AD8" s="67">
        <v>3005</v>
      </c>
      <c r="AE8" s="70">
        <v>1972</v>
      </c>
      <c r="AF8" s="67">
        <v>2534</v>
      </c>
      <c r="AG8" s="70">
        <v>1162</v>
      </c>
      <c r="AH8" s="67">
        <v>2621</v>
      </c>
      <c r="AI8" s="70">
        <v>1737</v>
      </c>
      <c r="AJ8" s="67">
        <v>475</v>
      </c>
      <c r="AK8" s="70">
        <v>400</v>
      </c>
      <c r="AL8" s="67"/>
      <c r="AM8" s="70"/>
      <c r="AN8" s="165">
        <v>34051</v>
      </c>
      <c r="AO8" s="166">
        <v>24911</v>
      </c>
      <c r="AP8" s="98">
        <v>275.93</v>
      </c>
      <c r="AQ8" s="73">
        <v>131</v>
      </c>
      <c r="AR8" s="86">
        <v>1249</v>
      </c>
      <c r="AS8" s="88">
        <v>1132</v>
      </c>
      <c r="AT8" s="71">
        <v>2592</v>
      </c>
      <c r="AU8" s="73">
        <v>1219</v>
      </c>
      <c r="AV8" s="90">
        <f t="shared" si="0"/>
        <v>125191.85999999999</v>
      </c>
      <c r="AW8" s="101">
        <f t="shared" si="1"/>
        <v>79571.92</v>
      </c>
      <c r="AX8" s="86">
        <v>877355.23</v>
      </c>
      <c r="AY8" s="88">
        <v>778291.25</v>
      </c>
      <c r="AZ8" s="99">
        <f t="shared" si="2"/>
        <v>1002547.09</v>
      </c>
      <c r="BA8" s="99">
        <f>AW8+AY8</f>
        <v>857863.17</v>
      </c>
    </row>
    <row r="9" spans="1:59" s="65" customFormat="1" ht="14.25" x14ac:dyDescent="0.3">
      <c r="A9" s="299" t="s">
        <v>34</v>
      </c>
      <c r="B9" s="96"/>
      <c r="C9" s="66"/>
      <c r="D9" s="67"/>
      <c r="E9" s="69"/>
      <c r="F9" s="72"/>
      <c r="G9" s="81"/>
      <c r="H9" s="71"/>
      <c r="I9" s="81"/>
      <c r="J9" s="71"/>
      <c r="K9" s="73"/>
      <c r="L9" s="72"/>
      <c r="M9" s="81"/>
      <c r="N9" s="71"/>
      <c r="O9" s="556"/>
      <c r="P9" s="97"/>
      <c r="Q9" s="68"/>
      <c r="R9" s="68"/>
      <c r="S9" s="70">
        <v>42769</v>
      </c>
      <c r="T9" s="67"/>
      <c r="U9" s="70"/>
      <c r="V9" s="84"/>
      <c r="W9" s="81"/>
      <c r="X9" s="67"/>
      <c r="Y9" s="70"/>
      <c r="Z9" s="783"/>
      <c r="AA9" s="75"/>
      <c r="AB9" s="97"/>
      <c r="AC9" s="70"/>
      <c r="AD9" s="67"/>
      <c r="AE9" s="70"/>
      <c r="AF9" s="67"/>
      <c r="AG9" s="70"/>
      <c r="AH9" s="67"/>
      <c r="AI9" s="70"/>
      <c r="AJ9" s="67"/>
      <c r="AK9" s="70"/>
      <c r="AL9" s="67"/>
      <c r="AM9" s="70"/>
      <c r="AN9" s="71"/>
      <c r="AO9" s="166"/>
      <c r="AP9" s="98"/>
      <c r="AQ9" s="73"/>
      <c r="AR9" s="86">
        <v>2434</v>
      </c>
      <c r="AS9" s="88">
        <v>3210</v>
      </c>
      <c r="AT9" s="71"/>
      <c r="AU9" s="73"/>
      <c r="AV9" s="90">
        <f t="shared" si="0"/>
        <v>2434</v>
      </c>
      <c r="AW9" s="101">
        <f t="shared" si="1"/>
        <v>45979</v>
      </c>
      <c r="AX9" s="86"/>
      <c r="AY9" s="88"/>
      <c r="AZ9" s="99">
        <f t="shared" si="2"/>
        <v>2434</v>
      </c>
      <c r="BA9" s="99"/>
    </row>
    <row r="10" spans="1:59" s="65" customFormat="1" ht="14.25" x14ac:dyDescent="0.3">
      <c r="A10" s="299" t="s">
        <v>35</v>
      </c>
      <c r="B10" s="103">
        <f>9314+2312</f>
        <v>11626</v>
      </c>
      <c r="C10" s="66">
        <f>7021+2027</f>
        <v>9048</v>
      </c>
      <c r="D10" s="76">
        <v>1199</v>
      </c>
      <c r="E10" s="69">
        <v>771</v>
      </c>
      <c r="F10" s="92">
        <v>3547</v>
      </c>
      <c r="G10" s="81">
        <v>3825</v>
      </c>
      <c r="H10" s="89">
        <v>15972</v>
      </c>
      <c r="I10" s="81">
        <f>19866</f>
        <v>19866</v>
      </c>
      <c r="J10" s="89">
        <v>9466</v>
      </c>
      <c r="K10" s="73">
        <v>7464</v>
      </c>
      <c r="L10" s="92">
        <v>2217</v>
      </c>
      <c r="M10" s="81">
        <v>789</v>
      </c>
      <c r="N10" s="89">
        <v>150</v>
      </c>
      <c r="O10" s="556">
        <v>269</v>
      </c>
      <c r="P10" s="104">
        <v>893</v>
      </c>
      <c r="Q10" s="68">
        <v>576</v>
      </c>
      <c r="R10" s="79"/>
      <c r="S10" s="70"/>
      <c r="T10" s="76">
        <v>1508</v>
      </c>
      <c r="U10" s="70">
        <v>611</v>
      </c>
      <c r="V10" s="89">
        <v>258</v>
      </c>
      <c r="W10" s="81">
        <v>1818</v>
      </c>
      <c r="X10" s="76">
        <v>21312</v>
      </c>
      <c r="Y10" s="70">
        <f>10589</f>
        <v>10589</v>
      </c>
      <c r="Z10" s="783">
        <v>9693</v>
      </c>
      <c r="AA10" s="75">
        <v>7021</v>
      </c>
      <c r="AB10" s="104">
        <v>4880.9399999999996</v>
      </c>
      <c r="AC10" s="70">
        <v>4056.48</v>
      </c>
      <c r="AD10" s="105">
        <v>18039</v>
      </c>
      <c r="AE10" s="70">
        <v>13691</v>
      </c>
      <c r="AF10" s="76">
        <v>12951</v>
      </c>
      <c r="AG10" s="70">
        <v>11190</v>
      </c>
      <c r="AH10" s="76">
        <v>20529</v>
      </c>
      <c r="AI10" s="70">
        <v>16363</v>
      </c>
      <c r="AJ10" s="76">
        <v>24369</v>
      </c>
      <c r="AK10" s="70">
        <v>24665</v>
      </c>
      <c r="AL10" s="67"/>
      <c r="AM10" s="70"/>
      <c r="AN10" s="165">
        <v>50234</v>
      </c>
      <c r="AO10" s="166">
        <v>51609</v>
      </c>
      <c r="AP10" s="98">
        <v>2183.79</v>
      </c>
      <c r="AQ10" s="73">
        <v>1876</v>
      </c>
      <c r="AR10" s="86">
        <v>267</v>
      </c>
      <c r="AS10" s="88">
        <v>205</v>
      </c>
      <c r="AT10" s="89">
        <f>19185+14517</f>
        <v>33702</v>
      </c>
      <c r="AU10" s="73">
        <f>12195+17512</f>
        <v>29707</v>
      </c>
      <c r="AV10" s="90">
        <f t="shared" si="0"/>
        <v>244996.73</v>
      </c>
      <c r="AW10" s="101">
        <f t="shared" si="1"/>
        <v>216009.47999999998</v>
      </c>
      <c r="AX10" s="89"/>
      <c r="AY10" s="88"/>
      <c r="AZ10" s="99">
        <f t="shared" si="2"/>
        <v>244996.73</v>
      </c>
      <c r="BA10" s="99">
        <f t="shared" ref="BA10:BA22" si="3">AW10+AY10</f>
        <v>216009.47999999998</v>
      </c>
    </row>
    <row r="11" spans="1:59" s="65" customFormat="1" ht="14.25" x14ac:dyDescent="0.3">
      <c r="A11" s="299" t="s">
        <v>36</v>
      </c>
      <c r="B11" s="96">
        <v>191408</v>
      </c>
      <c r="C11" s="66">
        <v>196397</v>
      </c>
      <c r="D11" s="67">
        <v>10555</v>
      </c>
      <c r="E11" s="69">
        <v>8994</v>
      </c>
      <c r="F11" s="72">
        <v>25962</v>
      </c>
      <c r="G11" s="81">
        <v>32934</v>
      </c>
      <c r="H11" s="562">
        <v>426518</v>
      </c>
      <c r="I11" s="81">
        <v>194876</v>
      </c>
      <c r="J11" s="71">
        <v>14514</v>
      </c>
      <c r="K11" s="73">
        <v>11196</v>
      </c>
      <c r="L11" s="72">
        <v>67665</v>
      </c>
      <c r="M11" s="81">
        <v>63540</v>
      </c>
      <c r="N11" s="71">
        <v>10563</v>
      </c>
      <c r="O11" s="556">
        <v>8976</v>
      </c>
      <c r="P11" s="97">
        <v>10481</v>
      </c>
      <c r="Q11" s="68">
        <v>6578</v>
      </c>
      <c r="R11" s="68"/>
      <c r="S11" s="70"/>
      <c r="T11" s="67">
        <v>10099</v>
      </c>
      <c r="U11" s="70">
        <v>8145</v>
      </c>
      <c r="V11" s="71">
        <v>355906</v>
      </c>
      <c r="W11" s="81">
        <v>421217</v>
      </c>
      <c r="X11" s="67">
        <v>1035622</v>
      </c>
      <c r="Y11" s="70">
        <v>565995</v>
      </c>
      <c r="Z11" s="783">
        <v>20941</v>
      </c>
      <c r="AA11" s="69">
        <v>4940</v>
      </c>
      <c r="AB11" s="97">
        <v>70645.16</v>
      </c>
      <c r="AC11" s="70">
        <v>192303</v>
      </c>
      <c r="AD11" s="67">
        <v>86907</v>
      </c>
      <c r="AE11" s="70">
        <v>65683</v>
      </c>
      <c r="AF11" s="67">
        <v>246399</v>
      </c>
      <c r="AG11" s="70">
        <v>223986</v>
      </c>
      <c r="AH11" s="67">
        <v>54161</v>
      </c>
      <c r="AI11" s="70">
        <v>54458</v>
      </c>
      <c r="AJ11" s="67">
        <v>45027</v>
      </c>
      <c r="AK11" s="70">
        <v>57427</v>
      </c>
      <c r="AL11" s="67"/>
      <c r="AM11" s="70"/>
      <c r="AN11" s="165">
        <v>366526</v>
      </c>
      <c r="AO11" s="166">
        <v>321752</v>
      </c>
      <c r="AP11" s="98">
        <v>6764</v>
      </c>
      <c r="AQ11" s="73">
        <v>6070</v>
      </c>
      <c r="AR11" s="86">
        <v>18301</v>
      </c>
      <c r="AS11" s="88">
        <v>18386</v>
      </c>
      <c r="AT11" s="71">
        <v>107494</v>
      </c>
      <c r="AU11" s="73">
        <v>75158</v>
      </c>
      <c r="AV11" s="90">
        <f t="shared" si="0"/>
        <v>3182458.16</v>
      </c>
      <c r="AW11" s="101">
        <f t="shared" si="1"/>
        <v>2539011</v>
      </c>
      <c r="AX11" s="86">
        <v>5759309.4699999997</v>
      </c>
      <c r="AY11" s="88">
        <v>4143103.62</v>
      </c>
      <c r="AZ11" s="99">
        <f t="shared" si="2"/>
        <v>8941767.629999999</v>
      </c>
      <c r="BA11" s="99">
        <f t="shared" si="3"/>
        <v>6682114.6200000001</v>
      </c>
      <c r="BF11" s="82"/>
      <c r="BG11" s="82"/>
    </row>
    <row r="12" spans="1:59" s="65" customFormat="1" ht="14.25" x14ac:dyDescent="0.3">
      <c r="A12" s="299" t="s">
        <v>37</v>
      </c>
      <c r="B12" s="96"/>
      <c r="C12" s="66"/>
      <c r="D12" s="67"/>
      <c r="E12" s="69"/>
      <c r="F12" s="72"/>
      <c r="G12" s="81"/>
      <c r="H12" s="562"/>
      <c r="I12" s="81"/>
      <c r="J12" s="71"/>
      <c r="K12" s="73"/>
      <c r="L12" s="72"/>
      <c r="M12" s="81"/>
      <c r="N12" s="71"/>
      <c r="O12" s="556"/>
      <c r="P12" s="97"/>
      <c r="Q12" s="68"/>
      <c r="R12" s="68"/>
      <c r="S12" s="70"/>
      <c r="T12" s="67"/>
      <c r="U12" s="70"/>
      <c r="V12" s="71">
        <v>123587</v>
      </c>
      <c r="W12" s="81">
        <v>113649</v>
      </c>
      <c r="X12" s="67"/>
      <c r="Y12" s="70"/>
      <c r="Z12" s="783"/>
      <c r="AA12" s="69">
        <v>1871</v>
      </c>
      <c r="AB12" s="97"/>
      <c r="AC12" s="70"/>
      <c r="AD12" s="67">
        <v>11796</v>
      </c>
      <c r="AE12" s="70">
        <v>5292</v>
      </c>
      <c r="AF12" s="67"/>
      <c r="AG12" s="70"/>
      <c r="AH12" s="67"/>
      <c r="AI12" s="70"/>
      <c r="AJ12" s="67"/>
      <c r="AK12" s="70"/>
      <c r="AL12" s="67"/>
      <c r="AM12" s="70"/>
      <c r="AN12" s="165">
        <v>151079</v>
      </c>
      <c r="AO12" s="166">
        <v>129028</v>
      </c>
      <c r="AP12" s="98"/>
      <c r="AQ12" s="73"/>
      <c r="AR12" s="86"/>
      <c r="AS12" s="88"/>
      <c r="AT12" s="71"/>
      <c r="AU12" s="73"/>
      <c r="AV12" s="90">
        <f t="shared" si="0"/>
        <v>286462</v>
      </c>
      <c r="AW12" s="101">
        <f t="shared" si="1"/>
        <v>249840</v>
      </c>
      <c r="AX12" s="86"/>
      <c r="AY12" s="88"/>
      <c r="AZ12" s="99">
        <f t="shared" si="2"/>
        <v>286462</v>
      </c>
      <c r="BA12" s="99">
        <f t="shared" si="3"/>
        <v>249840</v>
      </c>
    </row>
    <row r="13" spans="1:59" s="65" customFormat="1" ht="14.25" x14ac:dyDescent="0.3">
      <c r="A13" s="299" t="s">
        <v>38</v>
      </c>
      <c r="B13" s="96"/>
      <c r="C13" s="66"/>
      <c r="D13" s="67">
        <v>86</v>
      </c>
      <c r="E13" s="69">
        <v>92</v>
      </c>
      <c r="F13" s="72"/>
      <c r="G13" s="81"/>
      <c r="H13" s="562"/>
      <c r="I13" s="81"/>
      <c r="J13" s="71"/>
      <c r="K13" s="73"/>
      <c r="L13" s="72">
        <v>68977</v>
      </c>
      <c r="M13" s="81">
        <v>17545</v>
      </c>
      <c r="N13" s="71"/>
      <c r="O13" s="556"/>
      <c r="P13" s="97">
        <v>3726</v>
      </c>
      <c r="Q13" s="68">
        <v>378</v>
      </c>
      <c r="R13" s="68"/>
      <c r="S13" s="70"/>
      <c r="T13" s="67">
        <v>471</v>
      </c>
      <c r="U13" s="70">
        <v>384</v>
      </c>
      <c r="V13" s="71">
        <v>786901</v>
      </c>
      <c r="W13" s="81">
        <v>159486</v>
      </c>
      <c r="X13" s="67"/>
      <c r="Y13" s="70"/>
      <c r="Z13" s="783">
        <v>5528</v>
      </c>
      <c r="AA13" s="69"/>
      <c r="AB13" s="97"/>
      <c r="AC13" s="70"/>
      <c r="AD13" s="67"/>
      <c r="AE13" s="70"/>
      <c r="AF13" s="67"/>
      <c r="AG13" s="70"/>
      <c r="AH13" s="67"/>
      <c r="AI13" s="70"/>
      <c r="AJ13" s="67"/>
      <c r="AK13" s="70"/>
      <c r="AL13" s="67"/>
      <c r="AM13" s="70"/>
      <c r="AN13" s="165">
        <v>274193</v>
      </c>
      <c r="AO13" s="166">
        <v>223000</v>
      </c>
      <c r="AP13" s="98">
        <v>1.45</v>
      </c>
      <c r="AQ13" s="73">
        <v>26</v>
      </c>
      <c r="AR13" s="86"/>
      <c r="AS13" s="88"/>
      <c r="AT13" s="71"/>
      <c r="AU13" s="73"/>
      <c r="AV13" s="90">
        <f t="shared" si="0"/>
        <v>1139883.45</v>
      </c>
      <c r="AW13" s="101">
        <f t="shared" si="1"/>
        <v>400911</v>
      </c>
      <c r="AX13" s="86"/>
      <c r="AY13" s="88"/>
      <c r="AZ13" s="99">
        <f t="shared" si="2"/>
        <v>1139883.45</v>
      </c>
      <c r="BA13" s="99">
        <f t="shared" si="3"/>
        <v>400911</v>
      </c>
    </row>
    <row r="14" spans="1:59" s="65" customFormat="1" ht="14.25" x14ac:dyDescent="0.3">
      <c r="A14" s="299" t="s">
        <v>39</v>
      </c>
      <c r="B14" s="103">
        <v>446</v>
      </c>
      <c r="C14" s="66">
        <v>483</v>
      </c>
      <c r="D14" s="76">
        <v>97</v>
      </c>
      <c r="E14" s="69">
        <v>748</v>
      </c>
      <c r="F14" s="92">
        <v>6</v>
      </c>
      <c r="G14" s="81">
        <v>45</v>
      </c>
      <c r="H14" s="562">
        <v>1624</v>
      </c>
      <c r="I14" s="81">
        <v>987</v>
      </c>
      <c r="J14" s="89">
        <v>633</v>
      </c>
      <c r="K14" s="73">
        <v>465</v>
      </c>
      <c r="L14" s="92"/>
      <c r="M14" s="81"/>
      <c r="N14" s="89"/>
      <c r="O14" s="556"/>
      <c r="P14" s="104"/>
      <c r="Q14" s="68"/>
      <c r="R14" s="79"/>
      <c r="S14" s="70"/>
      <c r="T14" s="76"/>
      <c r="U14" s="70">
        <v>4</v>
      </c>
      <c r="V14" s="89"/>
      <c r="W14" s="81"/>
      <c r="X14" s="76">
        <v>457</v>
      </c>
      <c r="Y14" s="70">
        <v>190</v>
      </c>
      <c r="Z14" s="783">
        <v>51</v>
      </c>
      <c r="AA14" s="75">
        <v>36</v>
      </c>
      <c r="AB14" s="104"/>
      <c r="AC14" s="70"/>
      <c r="AD14" s="105">
        <v>110</v>
      </c>
      <c r="AE14" s="70">
        <v>117</v>
      </c>
      <c r="AF14" s="76"/>
      <c r="AG14" s="70"/>
      <c r="AH14" s="76"/>
      <c r="AI14" s="70"/>
      <c r="AJ14" s="76">
        <v>30</v>
      </c>
      <c r="AK14" s="70">
        <v>24</v>
      </c>
      <c r="AL14" s="67"/>
      <c r="AM14" s="70"/>
      <c r="AN14" s="165">
        <v>517</v>
      </c>
      <c r="AO14" s="166">
        <v>504</v>
      </c>
      <c r="AP14" s="98">
        <v>275.38</v>
      </c>
      <c r="AQ14" s="73">
        <v>349</v>
      </c>
      <c r="AR14" s="86">
        <v>14</v>
      </c>
      <c r="AS14" s="88">
        <v>114</v>
      </c>
      <c r="AT14" s="89"/>
      <c r="AU14" s="73"/>
      <c r="AV14" s="90">
        <f t="shared" si="0"/>
        <v>4260.38</v>
      </c>
      <c r="AW14" s="101">
        <f t="shared" si="1"/>
        <v>4066</v>
      </c>
      <c r="AX14" s="89"/>
      <c r="AY14" s="88"/>
      <c r="AZ14" s="99">
        <f t="shared" si="2"/>
        <v>4260.38</v>
      </c>
      <c r="BA14" s="99">
        <f t="shared" si="3"/>
        <v>4066</v>
      </c>
    </row>
    <row r="15" spans="1:59" s="65" customFormat="1" ht="14.25" x14ac:dyDescent="0.3">
      <c r="A15" s="299" t="s">
        <v>40</v>
      </c>
      <c r="B15" s="96">
        <v>3</v>
      </c>
      <c r="C15" s="66">
        <v>23</v>
      </c>
      <c r="D15" s="67">
        <v>27</v>
      </c>
      <c r="E15" s="69">
        <v>32</v>
      </c>
      <c r="F15" s="72">
        <v>85</v>
      </c>
      <c r="G15" s="81">
        <v>130</v>
      </c>
      <c r="H15" s="71">
        <v>318</v>
      </c>
      <c r="I15" s="81">
        <v>446</v>
      </c>
      <c r="J15" s="71">
        <v>135</v>
      </c>
      <c r="K15" s="73">
        <v>59</v>
      </c>
      <c r="L15" s="72">
        <v>20</v>
      </c>
      <c r="M15" s="81">
        <v>37</v>
      </c>
      <c r="N15" s="71">
        <v>14</v>
      </c>
      <c r="O15" s="556">
        <v>388</v>
      </c>
      <c r="P15" s="97">
        <v>120</v>
      </c>
      <c r="Q15" s="68">
        <v>31</v>
      </c>
      <c r="R15" s="68"/>
      <c r="S15" s="70"/>
      <c r="T15" s="67">
        <v>119</v>
      </c>
      <c r="U15" s="70">
        <v>118</v>
      </c>
      <c r="V15" s="71">
        <v>1912</v>
      </c>
      <c r="W15" s="81">
        <v>1797</v>
      </c>
      <c r="X15" s="67">
        <v>5789</v>
      </c>
      <c r="Y15" s="70">
        <v>4213</v>
      </c>
      <c r="Z15" s="783"/>
      <c r="AA15" s="75"/>
      <c r="AB15" s="97">
        <v>39.549999999999997</v>
      </c>
      <c r="AC15" s="70">
        <v>114.75</v>
      </c>
      <c r="AD15" s="67">
        <v>138</v>
      </c>
      <c r="AE15" s="70"/>
      <c r="AF15" s="67">
        <v>817</v>
      </c>
      <c r="AG15" s="70">
        <v>5226</v>
      </c>
      <c r="AH15" s="67">
        <v>274</v>
      </c>
      <c r="AI15" s="70">
        <v>388</v>
      </c>
      <c r="AJ15" s="67">
        <v>77</v>
      </c>
      <c r="AK15" s="70">
        <v>75</v>
      </c>
      <c r="AL15" s="67"/>
      <c r="AM15" s="70"/>
      <c r="AN15" s="165">
        <v>9007</v>
      </c>
      <c r="AO15" s="166">
        <v>2261</v>
      </c>
      <c r="AP15" s="98"/>
      <c r="AQ15" s="73"/>
      <c r="AR15" s="86"/>
      <c r="AS15" s="88"/>
      <c r="AT15" s="71">
        <v>-5</v>
      </c>
      <c r="AU15" s="73">
        <v>108</v>
      </c>
      <c r="AV15" s="90">
        <f t="shared" si="0"/>
        <v>18889.55</v>
      </c>
      <c r="AW15" s="101">
        <f t="shared" si="1"/>
        <v>15446.75</v>
      </c>
      <c r="AX15" s="71">
        <f>598.46+747.48+581.51+141.19+1441.71</f>
        <v>3510.35</v>
      </c>
      <c r="AY15" s="88">
        <f>847.05+921.54+746.96+83.46+851.4</f>
        <v>3450.4100000000003</v>
      </c>
      <c r="AZ15" s="99">
        <f t="shared" si="2"/>
        <v>22399.899999999998</v>
      </c>
      <c r="BA15" s="99">
        <f t="shared" si="3"/>
        <v>18897.16</v>
      </c>
    </row>
    <row r="16" spans="1:59" s="65" customFormat="1" ht="14.25" x14ac:dyDescent="0.3">
      <c r="A16" s="299" t="s">
        <v>41</v>
      </c>
      <c r="B16" s="96"/>
      <c r="C16" s="66"/>
      <c r="D16" s="67"/>
      <c r="E16" s="69"/>
      <c r="F16" s="72"/>
      <c r="G16" s="81"/>
      <c r="H16" s="71"/>
      <c r="I16" s="81"/>
      <c r="J16" s="71"/>
      <c r="K16" s="73"/>
      <c r="L16" s="72"/>
      <c r="M16" s="81"/>
      <c r="N16" s="71"/>
      <c r="O16" s="556"/>
      <c r="P16" s="97"/>
      <c r="Q16" s="68"/>
      <c r="R16" s="68"/>
      <c r="S16" s="70"/>
      <c r="T16" s="67"/>
      <c r="U16" s="70"/>
      <c r="V16" s="71"/>
      <c r="W16" s="81"/>
      <c r="X16" s="67"/>
      <c r="Y16" s="70"/>
      <c r="Z16" s="783"/>
      <c r="AA16" s="75"/>
      <c r="AB16" s="97"/>
      <c r="AC16" s="70"/>
      <c r="AD16" s="67"/>
      <c r="AE16" s="70"/>
      <c r="AF16" s="67"/>
      <c r="AG16" s="70"/>
      <c r="AH16" s="67"/>
      <c r="AI16" s="70"/>
      <c r="AJ16" s="67"/>
      <c r="AK16" s="70"/>
      <c r="AL16" s="67"/>
      <c r="AM16" s="70"/>
      <c r="AN16" s="165"/>
      <c r="AO16" s="166"/>
      <c r="AP16" s="98"/>
      <c r="AQ16" s="73"/>
      <c r="AR16" s="86"/>
      <c r="AS16" s="88"/>
      <c r="AT16" s="71"/>
      <c r="AU16" s="73"/>
      <c r="AV16" s="90">
        <f t="shared" si="0"/>
        <v>0</v>
      </c>
      <c r="AW16" s="101">
        <f t="shared" si="1"/>
        <v>0</v>
      </c>
      <c r="AX16" s="71"/>
      <c r="AY16" s="88"/>
      <c r="AZ16" s="99">
        <f t="shared" si="2"/>
        <v>0</v>
      </c>
      <c r="BA16" s="99">
        <f t="shared" si="3"/>
        <v>0</v>
      </c>
    </row>
    <row r="17" spans="1:53" s="65" customFormat="1" ht="14.25" x14ac:dyDescent="0.3">
      <c r="A17" s="299" t="s">
        <v>42</v>
      </c>
      <c r="B17" s="96"/>
      <c r="C17" s="66"/>
      <c r="D17" s="67"/>
      <c r="E17" s="69"/>
      <c r="F17" s="72"/>
      <c r="G17" s="81"/>
      <c r="H17" s="71"/>
      <c r="I17" s="81"/>
      <c r="J17" s="71"/>
      <c r="K17" s="73"/>
      <c r="L17" s="72"/>
      <c r="M17" s="81"/>
      <c r="N17" s="71"/>
      <c r="O17" s="556"/>
      <c r="P17" s="97"/>
      <c r="Q17" s="68"/>
      <c r="R17" s="68"/>
      <c r="S17" s="70"/>
      <c r="T17" s="67"/>
      <c r="U17" s="70"/>
      <c r="V17" s="71"/>
      <c r="W17" s="81"/>
      <c r="X17" s="67"/>
      <c r="Y17" s="70"/>
      <c r="Z17" s="783"/>
      <c r="AA17" s="75"/>
      <c r="AB17" s="97"/>
      <c r="AC17" s="70"/>
      <c r="AD17" s="67"/>
      <c r="AE17" s="70"/>
      <c r="AF17" s="67">
        <v>52731</v>
      </c>
      <c r="AG17" s="70">
        <v>49043</v>
      </c>
      <c r="AH17" s="67"/>
      <c r="AI17" s="70"/>
      <c r="AJ17" s="67"/>
      <c r="AK17" s="70"/>
      <c r="AL17" s="67"/>
      <c r="AM17" s="70"/>
      <c r="AN17" s="165"/>
      <c r="AO17" s="166"/>
      <c r="AP17" s="98">
        <v>21.93</v>
      </c>
      <c r="AQ17" s="73">
        <v>18.899999999999999</v>
      </c>
      <c r="AR17" s="86"/>
      <c r="AS17" s="88"/>
      <c r="AT17" s="71"/>
      <c r="AU17" s="73"/>
      <c r="AV17" s="90">
        <f t="shared" si="0"/>
        <v>52752.93</v>
      </c>
      <c r="AW17" s="101">
        <f t="shared" si="1"/>
        <v>49061.9</v>
      </c>
      <c r="AX17" s="71"/>
      <c r="AY17" s="88"/>
      <c r="AZ17" s="99">
        <f t="shared" si="2"/>
        <v>52752.93</v>
      </c>
      <c r="BA17" s="99">
        <f t="shared" si="3"/>
        <v>49061.9</v>
      </c>
    </row>
    <row r="18" spans="1:53" s="65" customFormat="1" ht="14.25" x14ac:dyDescent="0.3">
      <c r="A18" s="299" t="s">
        <v>43</v>
      </c>
      <c r="B18" s="96"/>
      <c r="C18" s="66"/>
      <c r="D18" s="67"/>
      <c r="E18" s="69"/>
      <c r="F18" s="72"/>
      <c r="G18" s="81"/>
      <c r="H18" s="71"/>
      <c r="I18" s="81"/>
      <c r="J18" s="71"/>
      <c r="K18" s="73"/>
      <c r="L18" s="72"/>
      <c r="M18" s="81"/>
      <c r="N18" s="71"/>
      <c r="O18" s="556"/>
      <c r="P18" s="97"/>
      <c r="Q18" s="68"/>
      <c r="R18" s="68"/>
      <c r="S18" s="70"/>
      <c r="T18" s="67"/>
      <c r="U18" s="70"/>
      <c r="V18" s="71">
        <v>8831</v>
      </c>
      <c r="W18" s="81">
        <v>41899</v>
      </c>
      <c r="X18" s="67"/>
      <c r="Y18" s="70"/>
      <c r="Z18" s="783"/>
      <c r="AA18" s="75"/>
      <c r="AB18" s="97"/>
      <c r="AC18" s="70"/>
      <c r="AD18" s="67"/>
      <c r="AE18" s="70"/>
      <c r="AF18" s="67"/>
      <c r="AG18" s="70"/>
      <c r="AH18" s="67"/>
      <c r="AI18" s="70"/>
      <c r="AJ18" s="67"/>
      <c r="AK18" s="70"/>
      <c r="AL18" s="67"/>
      <c r="AM18" s="70"/>
      <c r="AN18" s="165"/>
      <c r="AO18" s="166"/>
      <c r="AP18" s="98"/>
      <c r="AQ18" s="73"/>
      <c r="AR18" s="86">
        <v>7111</v>
      </c>
      <c r="AS18" s="88">
        <v>398</v>
      </c>
      <c r="AT18" s="71">
        <v>7302</v>
      </c>
      <c r="AU18" s="73">
        <v>6405</v>
      </c>
      <c r="AV18" s="90">
        <f t="shared" si="0"/>
        <v>23244</v>
      </c>
      <c r="AW18" s="101">
        <f t="shared" si="1"/>
        <v>48702</v>
      </c>
      <c r="AX18" s="71"/>
      <c r="AY18" s="88"/>
      <c r="AZ18" s="99">
        <f t="shared" si="2"/>
        <v>23244</v>
      </c>
      <c r="BA18" s="99">
        <f t="shared" si="3"/>
        <v>48702</v>
      </c>
    </row>
    <row r="19" spans="1:53" s="65" customFormat="1" ht="14.25" x14ac:dyDescent="0.3">
      <c r="A19" s="299" t="s">
        <v>44</v>
      </c>
      <c r="B19" s="96"/>
      <c r="C19" s="66"/>
      <c r="D19" s="67"/>
      <c r="E19" s="69"/>
      <c r="F19" s="72"/>
      <c r="G19" s="81"/>
      <c r="H19" s="71"/>
      <c r="I19" s="81"/>
      <c r="J19" s="71"/>
      <c r="K19" s="73"/>
      <c r="L19" s="72"/>
      <c r="M19" s="81"/>
      <c r="N19" s="71"/>
      <c r="O19" s="556"/>
      <c r="P19" s="97"/>
      <c r="Q19" s="68"/>
      <c r="R19" s="68"/>
      <c r="S19" s="70"/>
      <c r="T19" s="67"/>
      <c r="U19" s="70"/>
      <c r="V19" s="71">
        <v>900</v>
      </c>
      <c r="W19" s="81">
        <v>930</v>
      </c>
      <c r="X19" s="67"/>
      <c r="Y19" s="70"/>
      <c r="Z19" s="783"/>
      <c r="AA19" s="75"/>
      <c r="AB19" s="97"/>
      <c r="AC19" s="70"/>
      <c r="AD19" s="67"/>
      <c r="AE19" s="70"/>
      <c r="AF19" s="67"/>
      <c r="AG19" s="70"/>
      <c r="AH19" s="67"/>
      <c r="AI19" s="70"/>
      <c r="AJ19" s="67"/>
      <c r="AK19" s="70"/>
      <c r="AL19" s="67"/>
      <c r="AM19" s="70"/>
      <c r="AN19" s="165"/>
      <c r="AO19" s="166"/>
      <c r="AP19" s="98"/>
      <c r="AQ19" s="73"/>
      <c r="AR19" s="86"/>
      <c r="AS19" s="88"/>
      <c r="AT19" s="71"/>
      <c r="AU19" s="73"/>
      <c r="AV19" s="90">
        <f t="shared" si="0"/>
        <v>900</v>
      </c>
      <c r="AW19" s="101">
        <f t="shared" si="1"/>
        <v>930</v>
      </c>
      <c r="AX19" s="71"/>
      <c r="AY19" s="88"/>
      <c r="AZ19" s="99">
        <f t="shared" si="2"/>
        <v>900</v>
      </c>
      <c r="BA19" s="99">
        <f t="shared" si="3"/>
        <v>930</v>
      </c>
    </row>
    <row r="20" spans="1:53" s="65" customFormat="1" ht="14.25" x14ac:dyDescent="0.3">
      <c r="A20" s="299" t="s">
        <v>45</v>
      </c>
      <c r="B20" s="96"/>
      <c r="C20" s="66"/>
      <c r="D20" s="67"/>
      <c r="E20" s="69"/>
      <c r="F20" s="72">
        <v>392</v>
      </c>
      <c r="G20" s="81">
        <v>337</v>
      </c>
      <c r="H20" s="71">
        <v>266</v>
      </c>
      <c r="I20" s="81">
        <v>537</v>
      </c>
      <c r="J20" s="71"/>
      <c r="K20" s="73"/>
      <c r="L20" s="72"/>
      <c r="M20" s="81"/>
      <c r="N20" s="71">
        <v>33</v>
      </c>
      <c r="O20" s="556">
        <v>22</v>
      </c>
      <c r="P20" s="97">
        <v>9</v>
      </c>
      <c r="Q20" s="68">
        <v>5</v>
      </c>
      <c r="R20" s="68"/>
      <c r="S20" s="70"/>
      <c r="T20" s="67"/>
      <c r="U20" s="70"/>
      <c r="V20" s="71">
        <v>1534</v>
      </c>
      <c r="W20" s="81">
        <v>1239</v>
      </c>
      <c r="X20" s="67">
        <v>2278</v>
      </c>
      <c r="Y20" s="70">
        <v>970</v>
      </c>
      <c r="Z20" s="783"/>
      <c r="AA20" s="75"/>
      <c r="AB20" s="97"/>
      <c r="AC20" s="70"/>
      <c r="AD20" s="67">
        <v>121</v>
      </c>
      <c r="AE20" s="70">
        <v>78</v>
      </c>
      <c r="AF20" s="67"/>
      <c r="AG20" s="70"/>
      <c r="AH20" s="67"/>
      <c r="AI20" s="70"/>
      <c r="AJ20" s="67"/>
      <c r="AK20" s="70"/>
      <c r="AL20" s="67"/>
      <c r="AM20" s="70"/>
      <c r="AN20" s="165">
        <v>661</v>
      </c>
      <c r="AO20" s="166">
        <v>585</v>
      </c>
      <c r="AP20" s="98"/>
      <c r="AQ20" s="73"/>
      <c r="AR20" s="86"/>
      <c r="AS20" s="88"/>
      <c r="AT20" s="71">
        <v>296</v>
      </c>
      <c r="AU20" s="73">
        <v>198</v>
      </c>
      <c r="AV20" s="90">
        <f t="shared" si="0"/>
        <v>5590</v>
      </c>
      <c r="AW20" s="101">
        <f t="shared" si="1"/>
        <v>3971</v>
      </c>
      <c r="AX20" s="71"/>
      <c r="AY20" s="88"/>
      <c r="AZ20" s="99">
        <f t="shared" si="2"/>
        <v>5590</v>
      </c>
      <c r="BA20" s="99">
        <f t="shared" si="3"/>
        <v>3971</v>
      </c>
    </row>
    <row r="21" spans="1:53" s="65" customFormat="1" ht="14.25" x14ac:dyDescent="0.3">
      <c r="A21" s="299" t="s">
        <v>46</v>
      </c>
      <c r="B21" s="96"/>
      <c r="C21" s="66"/>
      <c r="D21" s="67"/>
      <c r="E21" s="69"/>
      <c r="F21" s="72"/>
      <c r="G21" s="81"/>
      <c r="H21" s="71"/>
      <c r="I21" s="81"/>
      <c r="J21" s="71"/>
      <c r="K21" s="73"/>
      <c r="L21" s="72"/>
      <c r="M21" s="81"/>
      <c r="N21" s="71">
        <v>25</v>
      </c>
      <c r="O21" s="556">
        <v>40</v>
      </c>
      <c r="P21" s="97"/>
      <c r="Q21" s="68"/>
      <c r="R21" s="68"/>
      <c r="S21" s="70"/>
      <c r="T21" s="67">
        <v>28</v>
      </c>
      <c r="U21" s="70">
        <v>59</v>
      </c>
      <c r="V21" s="71"/>
      <c r="W21" s="81"/>
      <c r="X21" s="67"/>
      <c r="Y21" s="70"/>
      <c r="Z21" s="783"/>
      <c r="AA21" s="75"/>
      <c r="AB21" s="97">
        <v>81.38</v>
      </c>
      <c r="AC21" s="70">
        <v>70.63</v>
      </c>
      <c r="AD21" s="67"/>
      <c r="AE21" s="70"/>
      <c r="AF21" s="67"/>
      <c r="AG21" s="70"/>
      <c r="AH21" s="67"/>
      <c r="AI21" s="70"/>
      <c r="AJ21" s="67">
        <v>46</v>
      </c>
      <c r="AK21" s="70">
        <v>50</v>
      </c>
      <c r="AL21" s="67"/>
      <c r="AM21" s="70"/>
      <c r="AN21" s="165"/>
      <c r="AO21" s="166"/>
      <c r="AP21" s="98"/>
      <c r="AQ21" s="73"/>
      <c r="AR21" s="86">
        <v>41</v>
      </c>
      <c r="AS21" s="88">
        <v>33</v>
      </c>
      <c r="AT21" s="71"/>
      <c r="AU21" s="73"/>
      <c r="AV21" s="90">
        <f t="shared" si="0"/>
        <v>221.38</v>
      </c>
      <c r="AW21" s="101">
        <f t="shared" si="1"/>
        <v>252.63</v>
      </c>
      <c r="AX21" s="71"/>
      <c r="AY21" s="88"/>
      <c r="AZ21" s="99">
        <f t="shared" si="2"/>
        <v>221.38</v>
      </c>
      <c r="BA21" s="99">
        <f t="shared" si="3"/>
        <v>252.63</v>
      </c>
    </row>
    <row r="22" spans="1:53" s="65" customFormat="1" ht="14.25" x14ac:dyDescent="0.3">
      <c r="A22" s="299" t="s">
        <v>47</v>
      </c>
      <c r="B22" s="96"/>
      <c r="C22" s="66"/>
      <c r="D22" s="67">
        <v>29</v>
      </c>
      <c r="E22" s="69">
        <v>55</v>
      </c>
      <c r="F22" s="72"/>
      <c r="G22" s="81"/>
      <c r="H22" s="71">
        <v>311</v>
      </c>
      <c r="I22" s="81">
        <v>1493</v>
      </c>
      <c r="J22" s="71"/>
      <c r="K22" s="73"/>
      <c r="L22" s="72"/>
      <c r="M22" s="81"/>
      <c r="N22" s="71">
        <v>160</v>
      </c>
      <c r="O22" s="556">
        <v>35</v>
      </c>
      <c r="P22" s="97"/>
      <c r="Q22" s="68"/>
      <c r="R22" s="68"/>
      <c r="S22" s="70"/>
      <c r="T22" s="102">
        <f>6975+919+43</f>
        <v>7937</v>
      </c>
      <c r="U22" s="70">
        <f>1611+2664+33</f>
        <v>4308</v>
      </c>
      <c r="V22" s="71"/>
      <c r="W22" s="81"/>
      <c r="X22" s="67"/>
      <c r="Y22" s="70"/>
      <c r="Z22" s="783">
        <v>3</v>
      </c>
      <c r="AA22" s="75">
        <v>4</v>
      </c>
      <c r="AB22" s="97"/>
      <c r="AC22" s="70"/>
      <c r="AD22" s="67">
        <v>7</v>
      </c>
      <c r="AE22" s="70">
        <f>33</f>
        <v>33</v>
      </c>
      <c r="AF22" s="67">
        <v>2386</v>
      </c>
      <c r="AG22" s="70">
        <v>1774</v>
      </c>
      <c r="AH22" s="67"/>
      <c r="AI22" s="70"/>
      <c r="AJ22" s="67">
        <v>781</v>
      </c>
      <c r="AK22" s="70">
        <v>577</v>
      </c>
      <c r="AL22" s="67"/>
      <c r="AM22" s="70"/>
      <c r="AN22" s="165">
        <v>266</v>
      </c>
      <c r="AO22" s="166">
        <v>76</v>
      </c>
      <c r="AP22" s="98">
        <v>138.38</v>
      </c>
      <c r="AQ22" s="73">
        <v>107.57</v>
      </c>
      <c r="AR22" s="86">
        <f>138+61+19</f>
        <v>218</v>
      </c>
      <c r="AS22" s="88">
        <v>300</v>
      </c>
      <c r="AT22" s="71"/>
      <c r="AU22" s="73"/>
      <c r="AV22" s="90">
        <f t="shared" si="0"/>
        <v>12236.38</v>
      </c>
      <c r="AW22" s="101">
        <f t="shared" si="1"/>
        <v>8762.57</v>
      </c>
      <c r="AX22" s="71">
        <f>39970.54+316.55</f>
        <v>40287.090000000004</v>
      </c>
      <c r="AY22" s="88">
        <v>36032.949999999997</v>
      </c>
      <c r="AZ22" s="99">
        <f t="shared" si="2"/>
        <v>52523.47</v>
      </c>
      <c r="BA22" s="99">
        <f t="shared" si="3"/>
        <v>44795.519999999997</v>
      </c>
    </row>
    <row r="23" spans="1:53" s="65" customFormat="1" ht="14.25" x14ac:dyDescent="0.3">
      <c r="A23" s="299" t="s">
        <v>48</v>
      </c>
      <c r="B23" s="96"/>
      <c r="C23" s="66"/>
      <c r="D23" s="67"/>
      <c r="E23" s="69"/>
      <c r="F23" s="72"/>
      <c r="G23" s="81"/>
      <c r="H23" s="71"/>
      <c r="I23" s="81"/>
      <c r="J23" s="71"/>
      <c r="K23" s="73"/>
      <c r="L23" s="72"/>
      <c r="M23" s="81"/>
      <c r="N23" s="71"/>
      <c r="O23" s="556"/>
      <c r="P23" s="97"/>
      <c r="Q23" s="68"/>
      <c r="R23" s="68"/>
      <c r="S23" s="70"/>
      <c r="T23" s="67"/>
      <c r="U23" s="70"/>
      <c r="V23" s="71"/>
      <c r="W23" s="81"/>
      <c r="X23" s="67"/>
      <c r="Y23" s="70"/>
      <c r="Z23" s="783"/>
      <c r="AA23" s="75"/>
      <c r="AB23" s="97"/>
      <c r="AC23" s="70"/>
      <c r="AD23" s="67"/>
      <c r="AE23" s="70"/>
      <c r="AF23" s="67"/>
      <c r="AG23" s="70"/>
      <c r="AH23" s="67"/>
      <c r="AI23" s="70"/>
      <c r="AJ23" s="67"/>
      <c r="AK23" s="70"/>
      <c r="AL23" s="67"/>
      <c r="AM23" s="70"/>
      <c r="AN23" s="71"/>
      <c r="AO23" s="166"/>
      <c r="AP23" s="98"/>
      <c r="AQ23" s="73"/>
      <c r="AR23" s="86"/>
      <c r="AS23" s="88"/>
      <c r="AT23" s="71"/>
      <c r="AU23" s="73"/>
      <c r="AV23" s="90">
        <f t="shared" si="0"/>
        <v>0</v>
      </c>
      <c r="AW23" s="101">
        <f t="shared" si="1"/>
        <v>0</v>
      </c>
      <c r="AX23" s="71"/>
      <c r="AY23" s="88"/>
      <c r="AZ23" s="99">
        <f t="shared" si="2"/>
        <v>0</v>
      </c>
      <c r="BA23" s="99"/>
    </row>
    <row r="24" spans="1:53" s="65" customFormat="1" ht="14.25" x14ac:dyDescent="0.3">
      <c r="A24" s="299" t="s">
        <v>31</v>
      </c>
      <c r="B24" s="103">
        <v>-14790</v>
      </c>
      <c r="C24" s="66">
        <v>-56220</v>
      </c>
      <c r="D24" s="76">
        <v>-2656</v>
      </c>
      <c r="E24" s="69">
        <v>-17317</v>
      </c>
      <c r="F24" s="92">
        <v>-2794</v>
      </c>
      <c r="G24" s="81">
        <v>-16035</v>
      </c>
      <c r="H24" s="89">
        <v>-16701</v>
      </c>
      <c r="I24" s="81">
        <v>-24131</v>
      </c>
      <c r="J24" s="89">
        <v>-2334</v>
      </c>
      <c r="K24" s="73">
        <v>-7733</v>
      </c>
      <c r="L24" s="92">
        <v>-5029</v>
      </c>
      <c r="M24" s="81">
        <v>-14788</v>
      </c>
      <c r="N24" s="89">
        <v>-2690</v>
      </c>
      <c r="O24" s="556">
        <v>-8267</v>
      </c>
      <c r="P24" s="104">
        <v>-2849</v>
      </c>
      <c r="Q24" s="68">
        <v>-11142</v>
      </c>
      <c r="R24" s="79"/>
      <c r="S24" s="70">
        <v>-23544</v>
      </c>
      <c r="T24" s="76">
        <v>-1991</v>
      </c>
      <c r="U24" s="70">
        <v>-11232</v>
      </c>
      <c r="V24" s="89">
        <v>-35706</v>
      </c>
      <c r="W24" s="81">
        <v>-117372</v>
      </c>
      <c r="X24" s="76">
        <v>-41476</v>
      </c>
      <c r="Y24" s="70">
        <v>-61413</v>
      </c>
      <c r="Z24" s="783">
        <v>-935</v>
      </c>
      <c r="AA24" s="75">
        <v>-1398</v>
      </c>
      <c r="AB24" s="104">
        <v>-9017.18</v>
      </c>
      <c r="AC24" s="70">
        <v>-20622.77</v>
      </c>
      <c r="AD24" s="105">
        <v>-11813</v>
      </c>
      <c r="AE24" s="70">
        <v>-41709</v>
      </c>
      <c r="AF24" s="76">
        <v>-21362</v>
      </c>
      <c r="AG24" s="70">
        <v>-102078</v>
      </c>
      <c r="AH24" s="76">
        <v>-16004</v>
      </c>
      <c r="AI24" s="70">
        <v>-49565</v>
      </c>
      <c r="AJ24" s="76">
        <v>-1090</v>
      </c>
      <c r="AK24" s="70">
        <v>-4219</v>
      </c>
      <c r="AL24" s="67"/>
      <c r="AM24" s="70"/>
      <c r="AN24" s="165">
        <v>-12510</v>
      </c>
      <c r="AO24" s="166">
        <v>-59647</v>
      </c>
      <c r="AP24" s="98">
        <v>-359.73</v>
      </c>
      <c r="AQ24" s="73">
        <v>-832</v>
      </c>
      <c r="AR24" s="86">
        <v>-9600</v>
      </c>
      <c r="AS24" s="88">
        <v>-11737</v>
      </c>
      <c r="AT24" s="89">
        <v>-23221</v>
      </c>
      <c r="AU24" s="73">
        <v>-85296</v>
      </c>
      <c r="AV24" s="90">
        <f t="shared" si="0"/>
        <v>-234927.91</v>
      </c>
      <c r="AW24" s="101">
        <f t="shared" si="1"/>
        <v>-746297.77</v>
      </c>
      <c r="AX24" s="89">
        <v>-14204.92</v>
      </c>
      <c r="AY24" s="88">
        <v>-40127.85</v>
      </c>
      <c r="AZ24" s="99">
        <f t="shared" si="2"/>
        <v>-249132.83000000002</v>
      </c>
      <c r="BA24" s="99">
        <f>AW24+AY24</f>
        <v>-786425.62</v>
      </c>
    </row>
    <row r="25" spans="1:53" s="65" customFormat="1" ht="14.25" x14ac:dyDescent="0.3">
      <c r="A25" s="299" t="s">
        <v>32</v>
      </c>
      <c r="B25" s="96"/>
      <c r="C25" s="66"/>
      <c r="D25" s="67"/>
      <c r="E25" s="69"/>
      <c r="F25" s="72"/>
      <c r="G25" s="81"/>
      <c r="H25" s="71"/>
      <c r="I25" s="81"/>
      <c r="J25" s="71"/>
      <c r="K25" s="73"/>
      <c r="L25" s="72"/>
      <c r="M25" s="81"/>
      <c r="N25" s="71"/>
      <c r="O25" s="556"/>
      <c r="P25" s="97"/>
      <c r="Q25" s="68"/>
      <c r="R25" s="68"/>
      <c r="S25" s="70"/>
      <c r="T25" s="67"/>
      <c r="U25" s="70"/>
      <c r="V25" s="71"/>
      <c r="W25" s="81"/>
      <c r="X25" s="67"/>
      <c r="Y25" s="70"/>
      <c r="Z25" s="783"/>
      <c r="AA25" s="75"/>
      <c r="AB25" s="97"/>
      <c r="AC25" s="70"/>
      <c r="AD25" s="67"/>
      <c r="AE25" s="70"/>
      <c r="AF25" s="67"/>
      <c r="AG25" s="70"/>
      <c r="AH25" s="67"/>
      <c r="AI25" s="70"/>
      <c r="AJ25" s="67"/>
      <c r="AK25" s="70"/>
      <c r="AL25" s="67"/>
      <c r="AM25" s="70"/>
      <c r="AN25" s="71"/>
      <c r="AO25" s="166"/>
      <c r="AP25" s="98"/>
      <c r="AQ25" s="73"/>
      <c r="AR25" s="86"/>
      <c r="AS25" s="88"/>
      <c r="AT25" s="71"/>
      <c r="AU25" s="73"/>
      <c r="AV25" s="90">
        <f t="shared" si="0"/>
        <v>0</v>
      </c>
      <c r="AW25" s="101">
        <f t="shared" si="1"/>
        <v>0</v>
      </c>
      <c r="AX25" s="86"/>
      <c r="AY25" s="88"/>
      <c r="AZ25" s="99">
        <f t="shared" si="2"/>
        <v>0</v>
      </c>
      <c r="BA25" s="99"/>
    </row>
    <row r="26" spans="1:53" s="65" customFormat="1" ht="14.25" x14ac:dyDescent="0.3">
      <c r="A26" s="299" t="s">
        <v>49</v>
      </c>
      <c r="B26" s="96"/>
      <c r="C26" s="66"/>
      <c r="D26" s="67"/>
      <c r="E26" s="69"/>
      <c r="F26" s="72"/>
      <c r="G26" s="81"/>
      <c r="H26" s="71"/>
      <c r="I26" s="81"/>
      <c r="J26" s="71"/>
      <c r="K26" s="73"/>
      <c r="L26" s="72"/>
      <c r="M26" s="81"/>
      <c r="N26" s="71"/>
      <c r="O26" s="556"/>
      <c r="P26" s="97"/>
      <c r="Q26" s="68"/>
      <c r="R26" s="68"/>
      <c r="S26" s="70"/>
      <c r="T26" s="67"/>
      <c r="U26" s="70"/>
      <c r="V26" s="71"/>
      <c r="W26" s="81"/>
      <c r="X26" s="67"/>
      <c r="Y26" s="70"/>
      <c r="Z26" s="783"/>
      <c r="AA26" s="75"/>
      <c r="AB26" s="97"/>
      <c r="AC26" s="70"/>
      <c r="AD26" s="67"/>
      <c r="AE26" s="70"/>
      <c r="AF26" s="67"/>
      <c r="AG26" s="70"/>
      <c r="AH26" s="67"/>
      <c r="AI26" s="70"/>
      <c r="AJ26" s="67"/>
      <c r="AK26" s="70"/>
      <c r="AL26" s="67"/>
      <c r="AM26" s="70"/>
      <c r="AN26" s="71"/>
      <c r="AO26" s="166"/>
      <c r="AP26" s="98"/>
      <c r="AQ26" s="73"/>
      <c r="AR26" s="86"/>
      <c r="AS26" s="88"/>
      <c r="AT26" s="71"/>
      <c r="AU26" s="73"/>
      <c r="AV26" s="90">
        <f t="shared" si="0"/>
        <v>0</v>
      </c>
      <c r="AW26" s="101">
        <f t="shared" si="1"/>
        <v>0</v>
      </c>
      <c r="AX26" s="86"/>
      <c r="AY26" s="88"/>
      <c r="AZ26" s="99">
        <f t="shared" si="2"/>
        <v>0</v>
      </c>
      <c r="BA26" s="99"/>
    </row>
    <row r="27" spans="1:53" s="65" customFormat="1" ht="14.25" x14ac:dyDescent="0.3">
      <c r="A27" s="299" t="s">
        <v>50</v>
      </c>
      <c r="B27" s="96">
        <v>-206</v>
      </c>
      <c r="C27" s="66">
        <v>-248</v>
      </c>
      <c r="D27" s="67">
        <v>-19</v>
      </c>
      <c r="E27" s="69">
        <v>-16</v>
      </c>
      <c r="F27" s="72"/>
      <c r="G27" s="81"/>
      <c r="H27" s="71">
        <v>-19</v>
      </c>
      <c r="I27" s="81">
        <f>-17-4</f>
        <v>-21</v>
      </c>
      <c r="J27" s="71"/>
      <c r="K27" s="73">
        <v>-1</v>
      </c>
      <c r="L27" s="72"/>
      <c r="M27" s="81"/>
      <c r="N27" s="71">
        <v>-1</v>
      </c>
      <c r="O27" s="556">
        <v>-3</v>
      </c>
      <c r="P27" s="97">
        <v>-91</v>
      </c>
      <c r="Q27" s="68">
        <v>-50</v>
      </c>
      <c r="R27" s="68"/>
      <c r="S27" s="70"/>
      <c r="T27" s="67">
        <v>-43</v>
      </c>
      <c r="U27" s="70">
        <v>-50</v>
      </c>
      <c r="V27" s="71">
        <v>-1073</v>
      </c>
      <c r="W27" s="81">
        <v>-823</v>
      </c>
      <c r="X27" s="67">
        <v>-2588</v>
      </c>
      <c r="Y27" s="70">
        <v>-2257</v>
      </c>
      <c r="Z27" s="783"/>
      <c r="AA27" s="75"/>
      <c r="AB27" s="97">
        <v>-11.14</v>
      </c>
      <c r="AC27" s="70">
        <v>-51.44</v>
      </c>
      <c r="AD27" s="67">
        <v>-105</v>
      </c>
      <c r="AE27" s="70"/>
      <c r="AF27" s="67">
        <v>-298</v>
      </c>
      <c r="AG27" s="70">
        <v>-424</v>
      </c>
      <c r="AH27" s="67">
        <v>-86</v>
      </c>
      <c r="AI27" s="70">
        <v>-64</v>
      </c>
      <c r="AJ27" s="67">
        <v>-10</v>
      </c>
      <c r="AK27" s="70">
        <v>-10</v>
      </c>
      <c r="AL27" s="67"/>
      <c r="AM27" s="70"/>
      <c r="AN27" s="165">
        <v>-76</v>
      </c>
      <c r="AO27" s="166">
        <v>-24</v>
      </c>
      <c r="AP27" s="98"/>
      <c r="AQ27" s="73"/>
      <c r="AR27" s="86">
        <v>-121</v>
      </c>
      <c r="AS27" s="88">
        <v>-109</v>
      </c>
      <c r="AT27" s="71"/>
      <c r="AU27" s="73"/>
      <c r="AV27" s="90">
        <f t="shared" si="0"/>
        <v>-4747.1399999999994</v>
      </c>
      <c r="AW27" s="101">
        <f t="shared" si="1"/>
        <v>-4151.4400000000005</v>
      </c>
      <c r="AX27" s="86">
        <v>-2002.63</v>
      </c>
      <c r="AY27" s="88">
        <v>-1284.67</v>
      </c>
      <c r="AZ27" s="99">
        <f t="shared" si="2"/>
        <v>-6749.7699999999995</v>
      </c>
      <c r="BA27" s="99">
        <f>AW27+AY27</f>
        <v>-5436.1100000000006</v>
      </c>
    </row>
    <row r="28" spans="1:53" s="65" customFormat="1" ht="14.25" x14ac:dyDescent="0.3">
      <c r="A28" s="299" t="s">
        <v>51</v>
      </c>
      <c r="B28" s="96"/>
      <c r="C28" s="66"/>
      <c r="D28" s="67">
        <v>-51</v>
      </c>
      <c r="E28" s="69">
        <v>-217</v>
      </c>
      <c r="F28" s="72">
        <v>-22</v>
      </c>
      <c r="G28" s="81">
        <v>-58</v>
      </c>
      <c r="H28" s="71">
        <v>-714</v>
      </c>
      <c r="I28" s="81">
        <v>-151</v>
      </c>
      <c r="J28" s="71">
        <v>-66</v>
      </c>
      <c r="K28" s="73">
        <v>-10</v>
      </c>
      <c r="L28" s="72"/>
      <c r="M28" s="81"/>
      <c r="N28" s="71"/>
      <c r="O28" s="556"/>
      <c r="P28" s="97"/>
      <c r="Q28" s="68"/>
      <c r="R28" s="68"/>
      <c r="S28" s="70"/>
      <c r="T28" s="67"/>
      <c r="U28" s="70"/>
      <c r="V28" s="71"/>
      <c r="W28" s="81"/>
      <c r="X28" s="67">
        <v>-15</v>
      </c>
      <c r="Y28" s="70">
        <v>-5</v>
      </c>
      <c r="Z28" s="783"/>
      <c r="AA28" s="75"/>
      <c r="AB28" s="97"/>
      <c r="AC28" s="70"/>
      <c r="AD28" s="67">
        <v>-11</v>
      </c>
      <c r="AE28" s="70">
        <v>-23</v>
      </c>
      <c r="AF28" s="67"/>
      <c r="AG28" s="70"/>
      <c r="AH28" s="67"/>
      <c r="AI28" s="70"/>
      <c r="AJ28" s="67"/>
      <c r="AK28" s="70"/>
      <c r="AL28" s="67"/>
      <c r="AM28" s="70"/>
      <c r="AN28" s="165"/>
      <c r="AO28" s="166"/>
      <c r="AP28" s="98"/>
      <c r="AQ28" s="73"/>
      <c r="AR28" s="86"/>
      <c r="AS28" s="88"/>
      <c r="AT28" s="71"/>
      <c r="AU28" s="73"/>
      <c r="AV28" s="90">
        <f t="shared" si="0"/>
        <v>-879</v>
      </c>
      <c r="AW28" s="101">
        <f t="shared" si="1"/>
        <v>-464</v>
      </c>
      <c r="AX28" s="86"/>
      <c r="AY28" s="88"/>
      <c r="AZ28" s="99">
        <f t="shared" si="2"/>
        <v>-879</v>
      </c>
      <c r="BA28" s="99">
        <f>AW28+AY28</f>
        <v>-464</v>
      </c>
    </row>
    <row r="29" spans="1:53" s="65" customFormat="1" ht="14.25" x14ac:dyDescent="0.3">
      <c r="A29" s="299" t="s">
        <v>52</v>
      </c>
      <c r="B29" s="103"/>
      <c r="C29" s="66"/>
      <c r="D29" s="76"/>
      <c r="E29" s="69"/>
      <c r="F29" s="92"/>
      <c r="G29" s="81"/>
      <c r="H29" s="89"/>
      <c r="I29" s="81"/>
      <c r="J29" s="89"/>
      <c r="K29" s="73"/>
      <c r="L29" s="92"/>
      <c r="M29" s="81"/>
      <c r="N29" s="89"/>
      <c r="O29" s="556"/>
      <c r="P29" s="104"/>
      <c r="Q29" s="68"/>
      <c r="R29" s="79"/>
      <c r="S29" s="70"/>
      <c r="T29" s="76"/>
      <c r="U29" s="70"/>
      <c r="V29" s="89"/>
      <c r="W29" s="81"/>
      <c r="X29" s="76"/>
      <c r="Y29" s="70"/>
      <c r="Z29" s="74"/>
      <c r="AA29" s="75"/>
      <c r="AB29" s="104"/>
      <c r="AC29" s="70"/>
      <c r="AD29" s="105"/>
      <c r="AE29" s="70"/>
      <c r="AF29" s="76"/>
      <c r="AG29" s="70"/>
      <c r="AH29" s="76"/>
      <c r="AI29" s="70"/>
      <c r="AJ29" s="76"/>
      <c r="AK29" s="70"/>
      <c r="AL29" s="67"/>
      <c r="AM29" s="70"/>
      <c r="AN29" s="71"/>
      <c r="AO29" s="73"/>
      <c r="AP29" s="98"/>
      <c r="AQ29" s="73"/>
      <c r="AR29" s="86"/>
      <c r="AS29" s="88"/>
      <c r="AT29" s="89"/>
      <c r="AU29" s="93"/>
      <c r="AV29" s="90">
        <f t="shared" si="0"/>
        <v>0</v>
      </c>
      <c r="AW29" s="101">
        <f t="shared" si="1"/>
        <v>0</v>
      </c>
      <c r="AX29" s="89"/>
      <c r="AY29" s="93"/>
      <c r="AZ29" s="99">
        <f t="shared" si="2"/>
        <v>0</v>
      </c>
      <c r="BA29" s="99"/>
    </row>
    <row r="30" spans="1:53" s="65" customFormat="1" ht="14.25" x14ac:dyDescent="0.3">
      <c r="A30" s="299" t="s">
        <v>31</v>
      </c>
      <c r="B30" s="96"/>
      <c r="C30" s="66"/>
      <c r="D30" s="67"/>
      <c r="E30" s="69"/>
      <c r="F30" s="72"/>
      <c r="G30" s="81"/>
      <c r="H30" s="71"/>
      <c r="I30" s="81"/>
      <c r="J30" s="71"/>
      <c r="K30" s="73"/>
      <c r="L30" s="72"/>
      <c r="M30" s="81"/>
      <c r="N30" s="71"/>
      <c r="O30" s="556"/>
      <c r="P30" s="97"/>
      <c r="Q30" s="68"/>
      <c r="R30" s="68"/>
      <c r="S30" s="70"/>
      <c r="T30" s="67"/>
      <c r="U30" s="70"/>
      <c r="V30" s="71"/>
      <c r="W30" s="81"/>
      <c r="X30" s="67">
        <v>1</v>
      </c>
      <c r="Y30" s="70"/>
      <c r="Z30" s="74"/>
      <c r="AA30" s="75"/>
      <c r="AB30" s="97"/>
      <c r="AC30" s="70"/>
      <c r="AD30" s="67"/>
      <c r="AE30" s="70"/>
      <c r="AF30" s="67"/>
      <c r="AG30" s="70"/>
      <c r="AH30" s="67"/>
      <c r="AI30" s="70"/>
      <c r="AJ30" s="67"/>
      <c r="AK30" s="70"/>
      <c r="AL30" s="67"/>
      <c r="AM30" s="70"/>
      <c r="AN30" s="71"/>
      <c r="AO30" s="73"/>
      <c r="AP30" s="98"/>
      <c r="AQ30" s="73"/>
      <c r="AR30" s="86"/>
      <c r="AS30" s="88"/>
      <c r="AT30" s="71"/>
      <c r="AU30" s="73"/>
      <c r="AV30" s="90">
        <f t="shared" si="0"/>
        <v>1</v>
      </c>
      <c r="AW30" s="101">
        <f t="shared" si="1"/>
        <v>0</v>
      </c>
      <c r="AX30" s="86"/>
      <c r="AY30" s="88"/>
      <c r="AZ30" s="99">
        <f t="shared" si="2"/>
        <v>1</v>
      </c>
      <c r="BA30" s="99">
        <f>AW30+AY30</f>
        <v>0</v>
      </c>
    </row>
    <row r="31" spans="1:53" s="65" customFormat="1" ht="14.25" x14ac:dyDescent="0.3">
      <c r="A31" s="299" t="s">
        <v>32</v>
      </c>
      <c r="B31" s="96"/>
      <c r="C31" s="66"/>
      <c r="D31" s="67"/>
      <c r="E31" s="69"/>
      <c r="F31" s="72"/>
      <c r="G31" s="81"/>
      <c r="H31" s="71"/>
      <c r="I31" s="81"/>
      <c r="J31" s="71"/>
      <c r="K31" s="73"/>
      <c r="L31" s="72"/>
      <c r="M31" s="81"/>
      <c r="N31" s="71"/>
      <c r="O31" s="556"/>
      <c r="P31" s="97"/>
      <c r="Q31" s="68"/>
      <c r="R31" s="68"/>
      <c r="S31" s="70"/>
      <c r="T31" s="67"/>
      <c r="U31" s="70"/>
      <c r="V31" s="71"/>
      <c r="W31" s="81"/>
      <c r="X31" s="67"/>
      <c r="Y31" s="70"/>
      <c r="Z31" s="74"/>
      <c r="AA31" s="75"/>
      <c r="AB31" s="97"/>
      <c r="AC31" s="70"/>
      <c r="AD31" s="67"/>
      <c r="AE31" s="70"/>
      <c r="AF31" s="67"/>
      <c r="AG31" s="70"/>
      <c r="AH31" s="67"/>
      <c r="AI31" s="70"/>
      <c r="AJ31" s="67"/>
      <c r="AK31" s="70"/>
      <c r="AL31" s="67"/>
      <c r="AM31" s="70"/>
      <c r="AN31" s="71"/>
      <c r="AO31" s="73"/>
      <c r="AP31" s="98"/>
      <c r="AQ31" s="73"/>
      <c r="AR31" s="86"/>
      <c r="AS31" s="88"/>
      <c r="AT31" s="71"/>
      <c r="AU31" s="73"/>
      <c r="AV31" s="90">
        <f t="shared" si="0"/>
        <v>0</v>
      </c>
      <c r="AW31" s="101">
        <f t="shared" si="1"/>
        <v>0</v>
      </c>
      <c r="AX31" s="86"/>
      <c r="AY31" s="88"/>
      <c r="AZ31" s="99">
        <f t="shared" si="2"/>
        <v>0</v>
      </c>
      <c r="BA31" s="99"/>
    </row>
    <row r="32" spans="1:53" s="65" customFormat="1" ht="14.25" x14ac:dyDescent="0.3">
      <c r="A32" s="299" t="s">
        <v>49</v>
      </c>
      <c r="B32" s="96"/>
      <c r="C32" s="66"/>
      <c r="D32" s="67"/>
      <c r="E32" s="69"/>
      <c r="F32" s="72"/>
      <c r="G32" s="81"/>
      <c r="H32" s="71"/>
      <c r="I32" s="81"/>
      <c r="J32" s="71"/>
      <c r="K32" s="73"/>
      <c r="L32" s="72"/>
      <c r="M32" s="81"/>
      <c r="N32" s="71"/>
      <c r="O32" s="556"/>
      <c r="P32" s="97"/>
      <c r="Q32" s="68"/>
      <c r="R32" s="68"/>
      <c r="S32" s="70"/>
      <c r="T32" s="67"/>
      <c r="U32" s="70"/>
      <c r="V32" s="71"/>
      <c r="W32" s="81"/>
      <c r="X32" s="67"/>
      <c r="Y32" s="70"/>
      <c r="Z32" s="74"/>
      <c r="AA32" s="75"/>
      <c r="AB32" s="97"/>
      <c r="AC32" s="70"/>
      <c r="AD32" s="67"/>
      <c r="AE32" s="70"/>
      <c r="AF32" s="67"/>
      <c r="AG32" s="70"/>
      <c r="AH32" s="67"/>
      <c r="AI32" s="70"/>
      <c r="AJ32" s="67"/>
      <c r="AK32" s="70"/>
      <c r="AL32" s="67"/>
      <c r="AM32" s="70"/>
      <c r="AN32" s="71"/>
      <c r="AO32" s="73"/>
      <c r="AP32" s="98"/>
      <c r="AQ32" s="73"/>
      <c r="AR32" s="86"/>
      <c r="AS32" s="88"/>
      <c r="AT32" s="71"/>
      <c r="AU32" s="73"/>
      <c r="AV32" s="90">
        <f t="shared" si="0"/>
        <v>0</v>
      </c>
      <c r="AW32" s="101">
        <f>SUM(C32+E32+G32+I32+K32+M32+O32+Q32+S32+U32+W32+Y32+AA32+AC32+AE32+AG32+AI32+AK32+AM32+AO32+AQ32+AS32+AU32)</f>
        <v>0</v>
      </c>
      <c r="AX32" s="86"/>
      <c r="AY32" s="88"/>
      <c r="AZ32" s="99">
        <f t="shared" si="2"/>
        <v>0</v>
      </c>
      <c r="BA32" s="99"/>
    </row>
    <row r="33" spans="1:58" s="65" customFormat="1" thickBot="1" x14ac:dyDescent="0.35">
      <c r="A33" s="810" t="s">
        <v>53</v>
      </c>
      <c r="B33" s="106"/>
      <c r="C33" s="66"/>
      <c r="D33" s="112"/>
      <c r="E33" s="69"/>
      <c r="F33" s="111"/>
      <c r="G33" s="81"/>
      <c r="H33" s="113"/>
      <c r="I33" s="81"/>
      <c r="J33" s="113"/>
      <c r="K33" s="73"/>
      <c r="L33" s="111"/>
      <c r="M33" s="81"/>
      <c r="N33" s="113"/>
      <c r="O33" s="556"/>
      <c r="P33" s="107"/>
      <c r="Q33" s="68"/>
      <c r="R33" s="108"/>
      <c r="S33" s="70"/>
      <c r="T33" s="112"/>
      <c r="U33" s="70"/>
      <c r="V33" s="113"/>
      <c r="W33" s="81"/>
      <c r="X33" s="112"/>
      <c r="Y33" s="70"/>
      <c r="Z33" s="881"/>
      <c r="AA33" s="882"/>
      <c r="AB33" s="107"/>
      <c r="AC33" s="70"/>
      <c r="AD33" s="112"/>
      <c r="AE33" s="70"/>
      <c r="AF33" s="112"/>
      <c r="AG33" s="70"/>
      <c r="AH33" s="112"/>
      <c r="AI33" s="70"/>
      <c r="AJ33" s="112"/>
      <c r="AK33" s="70"/>
      <c r="AL33" s="112"/>
      <c r="AM33" s="70"/>
      <c r="AN33" s="167"/>
      <c r="AO33" s="168"/>
      <c r="AP33" s="110"/>
      <c r="AQ33" s="109"/>
      <c r="AR33" s="115"/>
      <c r="AS33" s="246"/>
      <c r="AT33" s="113"/>
      <c r="AU33" s="109"/>
      <c r="AV33" s="357">
        <f t="shared" si="0"/>
        <v>0</v>
      </c>
      <c r="AW33" s="120">
        <f t="shared" si="1"/>
        <v>0</v>
      </c>
      <c r="AX33" s="115"/>
      <c r="AY33" s="246"/>
      <c r="AZ33" s="119">
        <f t="shared" si="2"/>
        <v>0</v>
      </c>
      <c r="BA33" s="119"/>
    </row>
    <row r="34" spans="1:58" s="372" customFormat="1" thickBot="1" x14ac:dyDescent="0.35">
      <c r="A34" s="401" t="s">
        <v>54</v>
      </c>
      <c r="B34" s="816">
        <f t="shared" ref="B34:AG34" si="4">SUM(B6:B33)</f>
        <v>262215</v>
      </c>
      <c r="C34" s="817">
        <f t="shared" si="4"/>
        <v>330019</v>
      </c>
      <c r="D34" s="816">
        <f t="shared" si="4"/>
        <v>14178</v>
      </c>
      <c r="E34" s="817">
        <f t="shared" si="4"/>
        <v>20690</v>
      </c>
      <c r="F34" s="816">
        <f t="shared" si="4"/>
        <v>48603</v>
      </c>
      <c r="G34" s="818">
        <f t="shared" si="4"/>
        <v>56478</v>
      </c>
      <c r="H34" s="816">
        <f t="shared" si="4"/>
        <v>590333</v>
      </c>
      <c r="I34" s="818">
        <f t="shared" si="4"/>
        <v>394987</v>
      </c>
      <c r="J34" s="816">
        <f t="shared" si="4"/>
        <v>35770</v>
      </c>
      <c r="K34" s="817">
        <f t="shared" si="4"/>
        <v>40212</v>
      </c>
      <c r="L34" s="816">
        <f t="shared" si="4"/>
        <v>165694</v>
      </c>
      <c r="M34" s="818">
        <f t="shared" si="4"/>
        <v>130397</v>
      </c>
      <c r="N34" s="816">
        <f t="shared" si="4"/>
        <v>20371</v>
      </c>
      <c r="O34" s="817">
        <f t="shared" si="4"/>
        <v>26471</v>
      </c>
      <c r="P34" s="819">
        <f t="shared" si="4"/>
        <v>18193</v>
      </c>
      <c r="Q34" s="817">
        <f t="shared" si="4"/>
        <v>14399</v>
      </c>
      <c r="R34" s="816">
        <f t="shared" si="4"/>
        <v>0</v>
      </c>
      <c r="S34" s="818">
        <f t="shared" si="4"/>
        <v>97431</v>
      </c>
      <c r="T34" s="816">
        <f t="shared" si="4"/>
        <v>25766</v>
      </c>
      <c r="U34" s="818">
        <f t="shared" si="4"/>
        <v>26090</v>
      </c>
      <c r="V34" s="817">
        <f t="shared" si="4"/>
        <v>1762062</v>
      </c>
      <c r="W34" s="818">
        <f t="shared" si="4"/>
        <v>1389476</v>
      </c>
      <c r="X34" s="816">
        <f t="shared" si="4"/>
        <v>1343468</v>
      </c>
      <c r="Y34" s="818">
        <f t="shared" si="4"/>
        <v>797477</v>
      </c>
      <c r="Z34" s="879">
        <f t="shared" si="4"/>
        <v>53009</v>
      </c>
      <c r="AA34" s="880">
        <f>SUM(AA6:AA33)</f>
        <v>24658</v>
      </c>
      <c r="AB34" s="816">
        <f t="shared" si="4"/>
        <v>112451.2</v>
      </c>
      <c r="AC34" s="818">
        <f t="shared" si="4"/>
        <v>248539.23</v>
      </c>
      <c r="AD34" s="816">
        <f t="shared" si="4"/>
        <v>272141</v>
      </c>
      <c r="AE34" s="818">
        <f t="shared" si="4"/>
        <v>277781</v>
      </c>
      <c r="AF34" s="816">
        <f t="shared" si="4"/>
        <v>424270</v>
      </c>
      <c r="AG34" s="818">
        <f t="shared" si="4"/>
        <v>471673</v>
      </c>
      <c r="AH34" s="816">
        <f t="shared" ref="AH34:AS34" si="5">SUM(AH6:AH33)</f>
        <v>119562</v>
      </c>
      <c r="AI34" s="817">
        <f t="shared" si="5"/>
        <v>148204</v>
      </c>
      <c r="AJ34" s="816">
        <f t="shared" si="5"/>
        <v>108228</v>
      </c>
      <c r="AK34" s="818">
        <f t="shared" si="5"/>
        <v>154881</v>
      </c>
      <c r="AL34" s="816">
        <f t="shared" si="5"/>
        <v>0</v>
      </c>
      <c r="AM34" s="817">
        <f t="shared" si="5"/>
        <v>0</v>
      </c>
      <c r="AN34" s="879">
        <f t="shared" si="5"/>
        <v>1274442</v>
      </c>
      <c r="AO34" s="880">
        <f t="shared" si="5"/>
        <v>1745088</v>
      </c>
      <c r="AP34" s="816">
        <f>SUM(AP6:AP33)</f>
        <v>33734.87999999999</v>
      </c>
      <c r="AQ34" s="817">
        <f t="shared" si="5"/>
        <v>42077.47</v>
      </c>
      <c r="AR34" s="816">
        <f t="shared" si="5"/>
        <v>62731</v>
      </c>
      <c r="AS34" s="817">
        <f t="shared" si="5"/>
        <v>68454</v>
      </c>
      <c r="AT34" s="816">
        <f>SUM(AT6:AT33)</f>
        <v>207357</v>
      </c>
      <c r="AU34" s="817">
        <f>SUM(AU6:AU33)</f>
        <v>201300</v>
      </c>
      <c r="AV34" s="1018">
        <f t="shared" si="0"/>
        <v>6954579.0800000001</v>
      </c>
      <c r="AW34" s="826">
        <f t="shared" si="1"/>
        <v>6706782.7000000002</v>
      </c>
      <c r="AX34" s="364">
        <f>SUM(AX6:AX33)</f>
        <v>15143782.9</v>
      </c>
      <c r="AY34" s="796">
        <f>SUM(AY6:AY33)</f>
        <v>14905586.84</v>
      </c>
      <c r="AZ34" s="823">
        <f t="shared" si="2"/>
        <v>22098361.98</v>
      </c>
      <c r="BA34" s="371">
        <f>AW34+AY34</f>
        <v>21612369.539999999</v>
      </c>
    </row>
    <row r="35" spans="1:58" s="65" customFormat="1" thickBot="1" x14ac:dyDescent="0.35">
      <c r="A35" s="402" t="s">
        <v>55</v>
      </c>
      <c r="B35" s="169"/>
      <c r="C35" s="170"/>
      <c r="D35" s="169"/>
      <c r="E35" s="170"/>
      <c r="F35" s="396"/>
      <c r="G35" s="813"/>
      <c r="H35" s="125"/>
      <c r="I35" s="124"/>
      <c r="J35" s="811"/>
      <c r="K35" s="397"/>
      <c r="L35" s="124"/>
      <c r="M35" s="124"/>
      <c r="N35" s="125"/>
      <c r="O35" s="123"/>
      <c r="P35" s="122"/>
      <c r="Q35" s="122"/>
      <c r="R35" s="122"/>
      <c r="S35" s="122"/>
      <c r="T35" s="121"/>
      <c r="U35" s="122"/>
      <c r="V35" s="125"/>
      <c r="W35" s="124"/>
      <c r="X35" s="121"/>
      <c r="Y35" s="122"/>
      <c r="Z35" s="121"/>
      <c r="AA35" s="122"/>
      <c r="AB35" s="121"/>
      <c r="AC35" s="122"/>
      <c r="AD35" s="121"/>
      <c r="AE35" s="122"/>
      <c r="AF35" s="121"/>
      <c r="AG35" s="122"/>
      <c r="AH35" s="121"/>
      <c r="AI35" s="122"/>
      <c r="AJ35" s="121"/>
      <c r="AK35" s="122"/>
      <c r="AL35" s="169"/>
      <c r="AM35" s="170"/>
      <c r="AN35" s="125"/>
      <c r="AO35" s="123"/>
      <c r="AP35" s="84"/>
      <c r="AQ35" s="83"/>
      <c r="AR35" s="84"/>
      <c r="AS35" s="83"/>
      <c r="AT35" s="84"/>
      <c r="AU35" s="83"/>
      <c r="AV35" s="1019">
        <f t="shared" si="0"/>
        <v>0</v>
      </c>
      <c r="AW35" s="1020">
        <f t="shared" si="1"/>
        <v>0</v>
      </c>
      <c r="AX35" s="811"/>
      <c r="AY35" s="397"/>
      <c r="AZ35" s="245">
        <f t="shared" si="2"/>
        <v>0</v>
      </c>
      <c r="BA35" s="245"/>
    </row>
    <row r="36" spans="1:58" s="65" customFormat="1" thickBot="1" x14ac:dyDescent="0.35">
      <c r="A36" s="402" t="s">
        <v>56</v>
      </c>
      <c r="B36" s="399">
        <f t="shared" ref="B36:AH36" si="6">B34</f>
        <v>262215</v>
      </c>
      <c r="C36" s="405">
        <f t="shared" si="6"/>
        <v>330019</v>
      </c>
      <c r="D36" s="399">
        <f t="shared" si="6"/>
        <v>14178</v>
      </c>
      <c r="E36" s="405">
        <f t="shared" si="6"/>
        <v>20690</v>
      </c>
      <c r="F36" s="391">
        <f t="shared" si="6"/>
        <v>48603</v>
      </c>
      <c r="G36" s="814">
        <f t="shared" si="6"/>
        <v>56478</v>
      </c>
      <c r="H36" s="125">
        <f t="shared" si="6"/>
        <v>590333</v>
      </c>
      <c r="I36" s="124">
        <f t="shared" si="6"/>
        <v>394987</v>
      </c>
      <c r="J36" s="812">
        <f t="shared" si="6"/>
        <v>35770</v>
      </c>
      <c r="K36" s="392">
        <f t="shared" si="6"/>
        <v>40212</v>
      </c>
      <c r="L36" s="124">
        <f t="shared" si="6"/>
        <v>165694</v>
      </c>
      <c r="M36" s="124">
        <f t="shared" si="6"/>
        <v>130397</v>
      </c>
      <c r="N36" s="125">
        <f t="shared" si="6"/>
        <v>20371</v>
      </c>
      <c r="O36" s="123">
        <f t="shared" si="6"/>
        <v>26471</v>
      </c>
      <c r="P36" s="124">
        <f t="shared" si="6"/>
        <v>18193</v>
      </c>
      <c r="Q36" s="124">
        <f t="shared" si="6"/>
        <v>14399</v>
      </c>
      <c r="R36" s="124">
        <f t="shared" si="6"/>
        <v>0</v>
      </c>
      <c r="S36" s="124">
        <f t="shared" si="6"/>
        <v>97431</v>
      </c>
      <c r="T36" s="125">
        <f t="shared" si="6"/>
        <v>25766</v>
      </c>
      <c r="U36" s="124">
        <f t="shared" si="6"/>
        <v>26090</v>
      </c>
      <c r="V36" s="125">
        <f t="shared" si="6"/>
        <v>1762062</v>
      </c>
      <c r="W36" s="125">
        <f t="shared" si="6"/>
        <v>1389476</v>
      </c>
      <c r="X36" s="125">
        <v>79132299</v>
      </c>
      <c r="Y36" s="125">
        <f>Y34</f>
        <v>797477</v>
      </c>
      <c r="Z36" s="125">
        <f t="shared" si="6"/>
        <v>53009</v>
      </c>
      <c r="AA36" s="124">
        <f t="shared" si="6"/>
        <v>24658</v>
      </c>
      <c r="AB36" s="125">
        <f t="shared" si="6"/>
        <v>112451.2</v>
      </c>
      <c r="AC36" s="124">
        <f t="shared" si="6"/>
        <v>248539.23</v>
      </c>
      <c r="AD36" s="125">
        <f t="shared" si="6"/>
        <v>272141</v>
      </c>
      <c r="AE36" s="124">
        <f t="shared" si="6"/>
        <v>277781</v>
      </c>
      <c r="AF36" s="125">
        <f t="shared" si="6"/>
        <v>424270</v>
      </c>
      <c r="AG36" s="124">
        <f t="shared" si="6"/>
        <v>471673</v>
      </c>
      <c r="AH36" s="125">
        <f t="shared" si="6"/>
        <v>119562</v>
      </c>
      <c r="AI36" s="124">
        <f t="shared" ref="AI36:AN36" si="7">AI34</f>
        <v>148204</v>
      </c>
      <c r="AJ36" s="125">
        <f t="shared" si="7"/>
        <v>108228</v>
      </c>
      <c r="AK36" s="82">
        <f t="shared" si="7"/>
        <v>154881</v>
      </c>
      <c r="AL36" s="603">
        <f t="shared" si="7"/>
        <v>0</v>
      </c>
      <c r="AM36" s="821">
        <f t="shared" si="7"/>
        <v>0</v>
      </c>
      <c r="AN36" s="125">
        <f t="shared" si="7"/>
        <v>1274442</v>
      </c>
      <c r="AO36" s="123">
        <f t="shared" ref="AO36:AU36" si="8">AO34</f>
        <v>1745088</v>
      </c>
      <c r="AP36" s="824">
        <f t="shared" si="8"/>
        <v>33734.87999999999</v>
      </c>
      <c r="AQ36" s="825">
        <f t="shared" si="8"/>
        <v>42077.47</v>
      </c>
      <c r="AR36" s="824">
        <f t="shared" si="8"/>
        <v>62731</v>
      </c>
      <c r="AS36" s="825">
        <f t="shared" si="8"/>
        <v>68454</v>
      </c>
      <c r="AT36" s="824">
        <f t="shared" si="8"/>
        <v>207357</v>
      </c>
      <c r="AU36" s="825">
        <f t="shared" si="8"/>
        <v>201300</v>
      </c>
      <c r="AV36" s="1018">
        <f t="shared" si="0"/>
        <v>84743410.079999998</v>
      </c>
      <c r="AW36" s="826">
        <f t="shared" si="1"/>
        <v>6706782.7000000002</v>
      </c>
      <c r="AX36" s="812">
        <f>AX34</f>
        <v>15143782.9</v>
      </c>
      <c r="AY36" s="392">
        <f>AY34</f>
        <v>14905586.84</v>
      </c>
      <c r="AZ36" s="823">
        <f t="shared" si="2"/>
        <v>99887192.980000004</v>
      </c>
      <c r="BA36" s="826">
        <f>AW36+AY36</f>
        <v>21612369.539999999</v>
      </c>
    </row>
    <row r="37" spans="1:58" s="65" customFormat="1" thickBot="1" x14ac:dyDescent="0.35">
      <c r="A37" s="403" t="s">
        <v>57</v>
      </c>
      <c r="B37" s="398"/>
      <c r="C37" s="404"/>
      <c r="D37" s="398"/>
      <c r="E37" s="404"/>
      <c r="F37" s="396"/>
      <c r="G37" s="813"/>
      <c r="H37" s="84"/>
      <c r="I37" s="82"/>
      <c r="J37" s="811"/>
      <c r="K37" s="397"/>
      <c r="L37" s="82"/>
      <c r="M37" s="82"/>
      <c r="N37" s="84"/>
      <c r="O37" s="83"/>
      <c r="T37" s="102"/>
      <c r="V37" s="84"/>
      <c r="W37" s="82"/>
      <c r="X37" s="102"/>
      <c r="Z37" s="102"/>
      <c r="AB37" s="102"/>
      <c r="AD37" s="102"/>
      <c r="AF37" s="102"/>
      <c r="AH37" s="102"/>
      <c r="AJ37" s="102"/>
      <c r="AK37" s="820"/>
      <c r="AL37" s="822"/>
      <c r="AM37" s="244"/>
      <c r="AN37" s="84"/>
      <c r="AO37" s="83"/>
      <c r="AP37" s="84"/>
      <c r="AQ37" s="83"/>
      <c r="AR37" s="84"/>
      <c r="AS37" s="83"/>
      <c r="AT37" s="84"/>
      <c r="AU37" s="83"/>
      <c r="AV37" s="1016">
        <f t="shared" si="0"/>
        <v>0</v>
      </c>
      <c r="AW37" s="1017">
        <f t="shared" si="1"/>
        <v>0</v>
      </c>
      <c r="AX37" s="811"/>
      <c r="AY37" s="397"/>
      <c r="AZ37" s="245">
        <f t="shared" si="2"/>
        <v>0</v>
      </c>
      <c r="BA37" s="245"/>
    </row>
    <row r="38" spans="1:58" s="372" customFormat="1" thickBot="1" x14ac:dyDescent="0.35">
      <c r="A38" s="401" t="s">
        <v>54</v>
      </c>
      <c r="B38" s="400">
        <f t="shared" ref="B38:AG38" si="9">B36</f>
        <v>262215</v>
      </c>
      <c r="C38" s="406">
        <f t="shared" si="9"/>
        <v>330019</v>
      </c>
      <c r="D38" s="400">
        <f t="shared" si="9"/>
        <v>14178</v>
      </c>
      <c r="E38" s="406">
        <f t="shared" si="9"/>
        <v>20690</v>
      </c>
      <c r="F38" s="394">
        <f t="shared" si="9"/>
        <v>48603</v>
      </c>
      <c r="G38" s="815">
        <f t="shared" si="9"/>
        <v>56478</v>
      </c>
      <c r="H38" s="377">
        <f t="shared" si="9"/>
        <v>590333</v>
      </c>
      <c r="I38" s="376">
        <f t="shared" si="9"/>
        <v>394987</v>
      </c>
      <c r="J38" s="393">
        <f t="shared" si="9"/>
        <v>35770</v>
      </c>
      <c r="K38" s="395">
        <f t="shared" si="9"/>
        <v>40212</v>
      </c>
      <c r="L38" s="376">
        <f t="shared" si="9"/>
        <v>165694</v>
      </c>
      <c r="M38" s="376">
        <f t="shared" si="9"/>
        <v>130397</v>
      </c>
      <c r="N38" s="377">
        <f t="shared" si="9"/>
        <v>20371</v>
      </c>
      <c r="O38" s="375">
        <f t="shared" si="9"/>
        <v>26471</v>
      </c>
      <c r="P38" s="374">
        <f t="shared" si="9"/>
        <v>18193</v>
      </c>
      <c r="Q38" s="374">
        <f t="shared" si="9"/>
        <v>14399</v>
      </c>
      <c r="R38" s="374">
        <f t="shared" si="9"/>
        <v>0</v>
      </c>
      <c r="S38" s="374">
        <f t="shared" si="9"/>
        <v>97431</v>
      </c>
      <c r="T38" s="373">
        <f t="shared" si="9"/>
        <v>25766</v>
      </c>
      <c r="U38" s="374">
        <f t="shared" si="9"/>
        <v>26090</v>
      </c>
      <c r="V38" s="377">
        <f t="shared" si="9"/>
        <v>1762062</v>
      </c>
      <c r="W38" s="376">
        <f t="shared" si="9"/>
        <v>1389476</v>
      </c>
      <c r="X38" s="373">
        <f>X36</f>
        <v>79132299</v>
      </c>
      <c r="Y38" s="374">
        <f t="shared" si="9"/>
        <v>797477</v>
      </c>
      <c r="Z38" s="373">
        <f t="shared" si="9"/>
        <v>53009</v>
      </c>
      <c r="AA38" s="374">
        <f t="shared" si="9"/>
        <v>24658</v>
      </c>
      <c r="AB38" s="373">
        <f t="shared" si="9"/>
        <v>112451.2</v>
      </c>
      <c r="AC38" s="374">
        <f t="shared" si="9"/>
        <v>248539.23</v>
      </c>
      <c r="AD38" s="373">
        <f t="shared" si="9"/>
        <v>272141</v>
      </c>
      <c r="AE38" s="374">
        <f t="shared" si="9"/>
        <v>277781</v>
      </c>
      <c r="AF38" s="373">
        <f t="shared" si="9"/>
        <v>424270</v>
      </c>
      <c r="AG38" s="374">
        <f t="shared" si="9"/>
        <v>471673</v>
      </c>
      <c r="AH38" s="373">
        <f t="shared" ref="AH38:AU38" si="10">AH36</f>
        <v>119562</v>
      </c>
      <c r="AI38" s="374">
        <f t="shared" si="10"/>
        <v>148204</v>
      </c>
      <c r="AJ38" s="373">
        <f t="shared" si="10"/>
        <v>108228</v>
      </c>
      <c r="AK38" s="373">
        <f t="shared" si="10"/>
        <v>154881</v>
      </c>
      <c r="AL38" s="378">
        <f t="shared" si="10"/>
        <v>0</v>
      </c>
      <c r="AM38" s="379">
        <f t="shared" si="10"/>
        <v>0</v>
      </c>
      <c r="AN38" s="377">
        <f t="shared" si="10"/>
        <v>1274442</v>
      </c>
      <c r="AO38" s="375">
        <f t="shared" si="10"/>
        <v>1745088</v>
      </c>
      <c r="AP38" s="377">
        <f t="shared" si="10"/>
        <v>33734.87999999999</v>
      </c>
      <c r="AQ38" s="375">
        <f t="shared" si="10"/>
        <v>42077.47</v>
      </c>
      <c r="AR38" s="377">
        <f t="shared" si="10"/>
        <v>62731</v>
      </c>
      <c r="AS38" s="375">
        <f t="shared" si="10"/>
        <v>68454</v>
      </c>
      <c r="AT38" s="377">
        <f t="shared" si="10"/>
        <v>207357</v>
      </c>
      <c r="AU38" s="375">
        <f t="shared" si="10"/>
        <v>201300</v>
      </c>
      <c r="AV38" s="1014">
        <f t="shared" si="0"/>
        <v>84743410.079999998</v>
      </c>
      <c r="AW38" s="1015">
        <f t="shared" si="1"/>
        <v>6706782.7000000002</v>
      </c>
      <c r="AX38" s="393">
        <f>AX36</f>
        <v>15143782.9</v>
      </c>
      <c r="AY38" s="395">
        <f>AY36</f>
        <v>14905586.84</v>
      </c>
      <c r="AZ38" s="823">
        <f t="shared" si="2"/>
        <v>99887192.980000004</v>
      </c>
      <c r="BA38" s="371">
        <f>AW38+AY38</f>
        <v>21612369.539999999</v>
      </c>
      <c r="BE38" s="369">
        <f>BA38-BA11</f>
        <v>14930254.919999998</v>
      </c>
      <c r="BF38" s="369" t="e">
        <f>#REF!-#REF!</f>
        <v>#REF!</v>
      </c>
    </row>
    <row r="39" spans="1:58" s="65" customFormat="1" ht="14.25" x14ac:dyDescent="0.3">
      <c r="A39" s="56"/>
      <c r="V39" s="82"/>
      <c r="W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</row>
  </sheetData>
  <mergeCells count="29">
    <mergeCell ref="AJ3:AK3"/>
    <mergeCell ref="AZ3:BA3"/>
    <mergeCell ref="AN3:AO3"/>
    <mergeCell ref="AP3:AQ3"/>
    <mergeCell ref="AR3:AS3"/>
    <mergeCell ref="AT3:AU3"/>
    <mergeCell ref="AV3:AW3"/>
    <mergeCell ref="AX3:AY3"/>
    <mergeCell ref="Z3:AA3"/>
    <mergeCell ref="AB3:AC3"/>
    <mergeCell ref="AD3:AE3"/>
    <mergeCell ref="AF3:AG3"/>
    <mergeCell ref="AH3:AI3"/>
    <mergeCell ref="A1:AZ1"/>
    <mergeCell ref="A2:AZ2"/>
    <mergeCell ref="A3:A4"/>
    <mergeCell ref="P3:Q3"/>
    <mergeCell ref="B3:C3"/>
    <mergeCell ref="D3:E3"/>
    <mergeCell ref="F3:G3"/>
    <mergeCell ref="H3:I3"/>
    <mergeCell ref="J3:K3"/>
    <mergeCell ref="L3:M3"/>
    <mergeCell ref="AL3:AM3"/>
    <mergeCell ref="N3:O3"/>
    <mergeCell ref="R3:S3"/>
    <mergeCell ref="T3:U3"/>
    <mergeCell ref="V3:W3"/>
    <mergeCell ref="X3:Y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BA14"/>
  <sheetViews>
    <sheetView topLeftCell="A2" workbookViewId="0">
      <pane xSplit="1" topLeftCell="AN1" activePane="topRight" state="frozen"/>
      <selection pane="topRight" activeCell="AO13" sqref="AO13"/>
    </sheetView>
  </sheetViews>
  <sheetFormatPr defaultRowHeight="16.5" x14ac:dyDescent="0.3"/>
  <cols>
    <col min="1" max="1" width="28.28515625" style="61" customWidth="1"/>
    <col min="2" max="3" width="10.42578125" style="61" bestFit="1" customWidth="1"/>
    <col min="4" max="5" width="10.42578125" style="61" customWidth="1"/>
    <col min="6" max="27" width="10.42578125" style="61" bestFit="1" customWidth="1"/>
    <col min="28" max="28" width="11.5703125" style="61" bestFit="1" customWidth="1"/>
    <col min="29" max="41" width="10.42578125" style="61" bestFit="1" customWidth="1"/>
    <col min="42" max="42" width="11.5703125" style="61" bestFit="1" customWidth="1"/>
    <col min="43" max="47" width="10.42578125" style="61" bestFit="1" customWidth="1"/>
    <col min="48" max="48" width="14.28515625" style="61" bestFit="1" customWidth="1"/>
    <col min="49" max="49" width="10.42578125" style="61" bestFit="1" customWidth="1"/>
    <col min="50" max="50" width="14.28515625" style="61" bestFit="1" customWidth="1"/>
    <col min="51" max="51" width="12.85546875" style="61" bestFit="1" customWidth="1"/>
    <col min="52" max="52" width="14.28515625" style="40" bestFit="1" customWidth="1"/>
    <col min="53" max="53" width="14.28515625" style="61" bestFit="1" customWidth="1"/>
    <col min="54" max="16384" width="9.140625" style="61"/>
  </cols>
  <sheetData>
    <row r="1" spans="1:53" s="294" customFormat="1" ht="17.25" thickBot="1" x14ac:dyDescent="0.4">
      <c r="A1" s="1089" t="s">
        <v>368</v>
      </c>
      <c r="B1" s="1089"/>
      <c r="C1" s="1089"/>
      <c r="D1" s="1089"/>
      <c r="E1" s="1089"/>
      <c r="F1" s="1089"/>
      <c r="G1" s="1089"/>
      <c r="H1" s="1089"/>
      <c r="I1" s="1089"/>
      <c r="J1" s="1089"/>
      <c r="K1" s="1089"/>
      <c r="L1" s="1089"/>
      <c r="M1" s="1089"/>
      <c r="N1" s="1089"/>
      <c r="O1" s="1089"/>
      <c r="P1" s="1089"/>
      <c r="Q1" s="1089"/>
      <c r="R1" s="1089"/>
      <c r="S1" s="1089"/>
      <c r="T1" s="1089"/>
      <c r="U1" s="1089"/>
      <c r="V1" s="1089"/>
      <c r="W1" s="1089"/>
      <c r="X1" s="1089"/>
      <c r="Y1" s="1089"/>
      <c r="Z1" s="1089"/>
      <c r="AA1" s="1089"/>
      <c r="AB1" s="1089"/>
      <c r="AC1" s="1089"/>
      <c r="AD1" s="1089"/>
      <c r="AE1" s="1089"/>
      <c r="AF1" s="1089"/>
      <c r="AG1" s="1089"/>
      <c r="AH1" s="1089"/>
      <c r="AI1" s="1089"/>
      <c r="AJ1" s="1089"/>
      <c r="AK1" s="1089"/>
      <c r="AL1" s="1089"/>
      <c r="AM1" s="1089"/>
      <c r="AN1" s="1089"/>
      <c r="AO1" s="1089"/>
      <c r="AP1" s="1089"/>
      <c r="AQ1" s="1089"/>
      <c r="AR1" s="1089"/>
      <c r="AS1" s="1089"/>
      <c r="AT1" s="1089"/>
      <c r="AU1" s="1089"/>
      <c r="AV1" s="1089"/>
      <c r="AW1" s="1089"/>
      <c r="AX1" s="1089"/>
      <c r="AY1" s="1089"/>
      <c r="AZ1" s="1089"/>
    </row>
    <row r="2" spans="1:53" ht="69" customHeight="1" thickBot="1" x14ac:dyDescent="0.35">
      <c r="A2" s="1088" t="s">
        <v>0</v>
      </c>
      <c r="B2" s="1026" t="s">
        <v>149</v>
      </c>
      <c r="C2" s="1027"/>
      <c r="D2" s="1021" t="s">
        <v>150</v>
      </c>
      <c r="E2" s="1022"/>
      <c r="F2" s="1021" t="s">
        <v>151</v>
      </c>
      <c r="G2" s="1022"/>
      <c r="H2" s="1021" t="s">
        <v>152</v>
      </c>
      <c r="I2" s="1022"/>
      <c r="J2" s="1090" t="s">
        <v>153</v>
      </c>
      <c r="K2" s="1091"/>
      <c r="L2" s="1090" t="s">
        <v>154</v>
      </c>
      <c r="M2" s="1091"/>
      <c r="N2" s="1021" t="s">
        <v>253</v>
      </c>
      <c r="O2" s="1022"/>
      <c r="P2" s="1021" t="s">
        <v>155</v>
      </c>
      <c r="Q2" s="1022"/>
      <c r="R2" s="1021" t="s">
        <v>156</v>
      </c>
      <c r="S2" s="1022"/>
      <c r="T2" s="1092" t="s">
        <v>157</v>
      </c>
      <c r="U2" s="1091"/>
      <c r="V2" s="1021" t="s">
        <v>158</v>
      </c>
      <c r="W2" s="1022"/>
      <c r="X2" s="1021" t="s">
        <v>159</v>
      </c>
      <c r="Y2" s="1022"/>
      <c r="Z2" s="1021" t="s">
        <v>359</v>
      </c>
      <c r="AA2" s="1022"/>
      <c r="AB2" s="1021" t="s">
        <v>160</v>
      </c>
      <c r="AC2" s="1022"/>
      <c r="AD2" s="1021" t="s">
        <v>161</v>
      </c>
      <c r="AE2" s="1022"/>
      <c r="AF2" s="1021" t="s">
        <v>162</v>
      </c>
      <c r="AG2" s="1022"/>
      <c r="AH2" s="1021" t="s">
        <v>163</v>
      </c>
      <c r="AI2" s="1022"/>
      <c r="AJ2" s="1021" t="s">
        <v>164</v>
      </c>
      <c r="AK2" s="1022"/>
      <c r="AL2" s="1021" t="s">
        <v>165</v>
      </c>
      <c r="AM2" s="1022"/>
      <c r="AN2" s="1021" t="s">
        <v>166</v>
      </c>
      <c r="AO2" s="1022"/>
      <c r="AP2" s="1021" t="s">
        <v>167</v>
      </c>
      <c r="AQ2" s="1022"/>
      <c r="AR2" s="1021" t="s">
        <v>168</v>
      </c>
      <c r="AS2" s="1022"/>
      <c r="AT2" s="1021" t="s">
        <v>169</v>
      </c>
      <c r="AU2" s="1022"/>
      <c r="AV2" s="1021" t="s">
        <v>1</v>
      </c>
      <c r="AW2" s="1022"/>
      <c r="AX2" s="1021" t="s">
        <v>170</v>
      </c>
      <c r="AY2" s="1022"/>
      <c r="AZ2" s="1084" t="s">
        <v>2</v>
      </c>
      <c r="BA2" s="1087"/>
    </row>
    <row r="3" spans="1:53" s="333" customFormat="1" ht="36.75" customHeight="1" thickBot="1" x14ac:dyDescent="0.35">
      <c r="A3" s="1088"/>
      <c r="B3" s="407" t="s">
        <v>371</v>
      </c>
      <c r="C3" s="407" t="s">
        <v>354</v>
      </c>
      <c r="D3" s="407" t="s">
        <v>371</v>
      </c>
      <c r="E3" s="407" t="s">
        <v>354</v>
      </c>
      <c r="F3" s="407" t="s">
        <v>371</v>
      </c>
      <c r="G3" s="407" t="s">
        <v>354</v>
      </c>
      <c r="H3" s="407" t="s">
        <v>371</v>
      </c>
      <c r="I3" s="407" t="s">
        <v>354</v>
      </c>
      <c r="J3" s="407" t="s">
        <v>371</v>
      </c>
      <c r="K3" s="407" t="s">
        <v>354</v>
      </c>
      <c r="L3" s="407" t="s">
        <v>371</v>
      </c>
      <c r="M3" s="407" t="s">
        <v>354</v>
      </c>
      <c r="N3" s="407" t="s">
        <v>371</v>
      </c>
      <c r="O3" s="407" t="s">
        <v>354</v>
      </c>
      <c r="P3" s="407" t="s">
        <v>371</v>
      </c>
      <c r="Q3" s="407" t="s">
        <v>354</v>
      </c>
      <c r="R3" s="407" t="s">
        <v>371</v>
      </c>
      <c r="S3" s="407" t="s">
        <v>354</v>
      </c>
      <c r="T3" s="407" t="s">
        <v>371</v>
      </c>
      <c r="U3" s="407" t="s">
        <v>354</v>
      </c>
      <c r="V3" s="407" t="s">
        <v>371</v>
      </c>
      <c r="W3" s="407" t="s">
        <v>354</v>
      </c>
      <c r="X3" s="407" t="s">
        <v>371</v>
      </c>
      <c r="Y3" s="407" t="s">
        <v>354</v>
      </c>
      <c r="Z3" s="407" t="s">
        <v>371</v>
      </c>
      <c r="AA3" s="407" t="s">
        <v>354</v>
      </c>
      <c r="AB3" s="407" t="s">
        <v>371</v>
      </c>
      <c r="AC3" s="407" t="s">
        <v>354</v>
      </c>
      <c r="AD3" s="407" t="s">
        <v>371</v>
      </c>
      <c r="AE3" s="407" t="s">
        <v>354</v>
      </c>
      <c r="AF3" s="407" t="s">
        <v>371</v>
      </c>
      <c r="AG3" s="407" t="s">
        <v>354</v>
      </c>
      <c r="AH3" s="407" t="s">
        <v>371</v>
      </c>
      <c r="AI3" s="407" t="s">
        <v>354</v>
      </c>
      <c r="AJ3" s="407" t="s">
        <v>371</v>
      </c>
      <c r="AK3" s="407" t="s">
        <v>354</v>
      </c>
      <c r="AL3" s="407" t="s">
        <v>371</v>
      </c>
      <c r="AM3" s="407" t="s">
        <v>354</v>
      </c>
      <c r="AN3" s="407" t="s">
        <v>371</v>
      </c>
      <c r="AO3" s="407" t="s">
        <v>354</v>
      </c>
      <c r="AP3" s="407" t="s">
        <v>371</v>
      </c>
      <c r="AQ3" s="407" t="s">
        <v>354</v>
      </c>
      <c r="AR3" s="407" t="s">
        <v>371</v>
      </c>
      <c r="AS3" s="407" t="s">
        <v>354</v>
      </c>
      <c r="AT3" s="407" t="s">
        <v>371</v>
      </c>
      <c r="AU3" s="407" t="s">
        <v>354</v>
      </c>
      <c r="AV3" s="407" t="s">
        <v>371</v>
      </c>
      <c r="AW3" s="407" t="s">
        <v>354</v>
      </c>
      <c r="AX3" s="407" t="s">
        <v>371</v>
      </c>
      <c r="AY3" s="407" t="s">
        <v>354</v>
      </c>
      <c r="AZ3" s="407" t="s">
        <v>371</v>
      </c>
      <c r="BA3" s="407" t="s">
        <v>354</v>
      </c>
    </row>
    <row r="4" spans="1:53" x14ac:dyDescent="0.3">
      <c r="A4" s="527" t="s">
        <v>220</v>
      </c>
      <c r="B4" s="525"/>
      <c r="C4" s="526"/>
      <c r="D4" s="521"/>
      <c r="E4" s="521"/>
      <c r="F4" s="969">
        <v>0</v>
      </c>
      <c r="G4" s="969">
        <v>0</v>
      </c>
      <c r="H4" s="521"/>
      <c r="I4" s="521"/>
      <c r="J4" s="521"/>
      <c r="K4" s="521"/>
      <c r="L4" s="521"/>
      <c r="M4" s="521"/>
      <c r="N4" s="515"/>
      <c r="O4" s="515"/>
      <c r="P4" s="515"/>
      <c r="Q4" s="515"/>
      <c r="R4" s="873">
        <v>0</v>
      </c>
      <c r="S4" s="516">
        <v>0</v>
      </c>
      <c r="T4" s="871">
        <v>0</v>
      </c>
      <c r="U4" s="872">
        <v>0</v>
      </c>
      <c r="V4" s="515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  <c r="AH4" s="515">
        <v>0</v>
      </c>
      <c r="AI4" s="515">
        <v>0</v>
      </c>
      <c r="AJ4" s="515"/>
      <c r="AK4" s="515"/>
      <c r="AL4" s="515"/>
      <c r="AM4" s="515"/>
      <c r="AN4" s="515"/>
      <c r="AO4" s="515"/>
      <c r="AP4" s="515"/>
      <c r="AQ4" s="515"/>
      <c r="AR4" s="515"/>
      <c r="AS4" s="515"/>
      <c r="AT4" s="515"/>
      <c r="AU4" s="516"/>
      <c r="AV4" s="529">
        <f>SUM(B4+D4+F4+H4+J4+L4+N4+P4+R4+T4+V4+X4+Z4+AB4+AD4+AF4+AH4+AJ4+AL4+AN4+AP4+AR4+AT4)</f>
        <v>0</v>
      </c>
      <c r="AW4" s="530">
        <f>SUM(C4+E4+G4+I4+K4+M4+O4+Q4+S4+U4+W4+Y4+AA4+AC4+AE4+AG4+AI4+AK4+AM4+AO4+AQ4+AS4+AU4)</f>
        <v>0</v>
      </c>
      <c r="AX4" s="515"/>
      <c r="AY4" s="516"/>
      <c r="AZ4" s="529">
        <f>AV4+AX4</f>
        <v>0</v>
      </c>
      <c r="BA4" s="530">
        <f>AW4+AY4</f>
        <v>0</v>
      </c>
    </row>
    <row r="5" spans="1:53" x14ac:dyDescent="0.3">
      <c r="A5" s="388" t="s">
        <v>221</v>
      </c>
      <c r="B5" s="522"/>
      <c r="C5" s="52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4"/>
      <c r="S5" s="517"/>
      <c r="T5" s="522"/>
      <c r="U5" s="523"/>
      <c r="V5" s="513"/>
      <c r="W5" s="513"/>
      <c r="X5" s="513"/>
      <c r="Y5" s="513"/>
      <c r="Z5" s="513"/>
      <c r="AA5" s="513"/>
      <c r="AB5" s="513"/>
      <c r="AC5" s="513"/>
      <c r="AD5" s="513"/>
      <c r="AE5" s="513"/>
      <c r="AF5" s="513">
        <v>2588</v>
      </c>
      <c r="AG5" s="513">
        <v>2588</v>
      </c>
      <c r="AH5" s="513"/>
      <c r="AI5" s="513"/>
      <c r="AJ5" s="513"/>
      <c r="AK5" s="513"/>
      <c r="AL5" s="513"/>
      <c r="AM5" s="513"/>
      <c r="AN5" s="513"/>
      <c r="AO5" s="513"/>
      <c r="AP5" s="513"/>
      <c r="AQ5" s="513"/>
      <c r="AR5" s="513"/>
      <c r="AS5" s="513"/>
      <c r="AT5" s="513"/>
      <c r="AU5" s="517"/>
      <c r="AV5" s="522">
        <f t="shared" ref="AV5:AV14" si="0">SUM(B5+D5+F5+H5+J5+L5+N5+P5+R5+T5+V5+X5+Z5+AB5+AD5+AF5+AH5+AJ5+AL5+AN5+AP5+AR5+AT5)</f>
        <v>2588</v>
      </c>
      <c r="AW5" s="523">
        <f t="shared" ref="AW5:AW14" si="1">SUM(C5+E5+G5+I5+K5+M5+O5+Q5+S5+U5+W5+Y5+AA5+AC5+AE5+AG5+AI5+AK5+AM5+AO5+AQ5+AS5+AU5)</f>
        <v>2588</v>
      </c>
      <c r="AX5" s="513"/>
      <c r="AY5" s="517"/>
      <c r="AZ5" s="522">
        <f t="shared" ref="AZ5:AZ14" si="2">AV5+AX5</f>
        <v>2588</v>
      </c>
      <c r="BA5" s="523">
        <f t="shared" ref="BA5:BA14" si="3">AW5+AY5</f>
        <v>2588</v>
      </c>
    </row>
    <row r="6" spans="1:53" x14ac:dyDescent="0.3">
      <c r="A6" s="388" t="s">
        <v>222</v>
      </c>
      <c r="B6" s="522">
        <v>6829</v>
      </c>
      <c r="C6" s="523">
        <v>6829</v>
      </c>
      <c r="D6" s="518">
        <v>135593</v>
      </c>
      <c r="E6" s="518">
        <v>106061</v>
      </c>
      <c r="F6" s="513"/>
      <c r="G6" s="513"/>
      <c r="H6" s="513">
        <v>105996</v>
      </c>
      <c r="I6" s="513">
        <f>H6</f>
        <v>105996</v>
      </c>
      <c r="J6" s="513">
        <v>20744</v>
      </c>
      <c r="K6" s="513">
        <v>20744</v>
      </c>
      <c r="L6" s="513">
        <v>12500</v>
      </c>
      <c r="M6" s="513">
        <v>12500</v>
      </c>
      <c r="N6" s="513">
        <v>83292</v>
      </c>
      <c r="O6" s="513">
        <v>83292</v>
      </c>
      <c r="P6" s="513">
        <v>171192</v>
      </c>
      <c r="Q6" s="513">
        <v>171192</v>
      </c>
      <c r="R6" s="514"/>
      <c r="S6" s="517"/>
      <c r="T6" s="522">
        <v>10000</v>
      </c>
      <c r="U6" s="523">
        <v>10000</v>
      </c>
      <c r="V6" s="513">
        <v>854611</v>
      </c>
      <c r="W6" s="513">
        <v>56496</v>
      </c>
      <c r="X6" s="513">
        <v>352899</v>
      </c>
      <c r="Y6" s="513">
        <v>347549</v>
      </c>
      <c r="Z6" s="513"/>
      <c r="AA6" s="513"/>
      <c r="AB6" s="513"/>
      <c r="AC6" s="513">
        <f>AB6</f>
        <v>0</v>
      </c>
      <c r="AD6" s="513">
        <v>5204</v>
      </c>
      <c r="AE6" s="513">
        <v>5204</v>
      </c>
      <c r="AF6" s="513">
        <v>6617</v>
      </c>
      <c r="AG6" s="513">
        <v>6617</v>
      </c>
      <c r="AH6" s="513"/>
      <c r="AI6" s="513"/>
      <c r="AJ6" s="513">
        <v>30316</v>
      </c>
      <c r="AK6" s="513">
        <v>30316</v>
      </c>
      <c r="AL6" s="513"/>
      <c r="AM6" s="513"/>
      <c r="AN6" s="513">
        <v>4488</v>
      </c>
      <c r="AO6" s="513">
        <v>1279</v>
      </c>
      <c r="AP6" s="513">
        <v>380.19</v>
      </c>
      <c r="AQ6" s="513">
        <v>346</v>
      </c>
      <c r="AR6" s="513">
        <v>26861</v>
      </c>
      <c r="AS6" s="513">
        <v>26861</v>
      </c>
      <c r="AT6" s="513"/>
      <c r="AU6" s="517"/>
      <c r="AV6" s="522">
        <f t="shared" si="0"/>
        <v>1827522.19</v>
      </c>
      <c r="AW6" s="523">
        <f t="shared" si="1"/>
        <v>991282</v>
      </c>
      <c r="AX6" s="513"/>
      <c r="AY6" s="517"/>
      <c r="AZ6" s="522">
        <f t="shared" si="2"/>
        <v>1827522.19</v>
      </c>
      <c r="BA6" s="523">
        <f t="shared" si="3"/>
        <v>991282</v>
      </c>
    </row>
    <row r="7" spans="1:53" x14ac:dyDescent="0.3">
      <c r="A7" s="388" t="s">
        <v>223</v>
      </c>
      <c r="B7" s="522">
        <v>20000</v>
      </c>
      <c r="C7" s="523">
        <v>20000</v>
      </c>
      <c r="D7" s="518"/>
      <c r="E7" s="518"/>
      <c r="F7" s="513"/>
      <c r="G7" s="513"/>
      <c r="H7" s="513">
        <v>5263</v>
      </c>
      <c r="I7" s="513">
        <v>5142</v>
      </c>
      <c r="J7" s="513">
        <v>452</v>
      </c>
      <c r="K7" s="513">
        <v>922</v>
      </c>
      <c r="L7" s="513"/>
      <c r="M7" s="513"/>
      <c r="N7" s="513"/>
      <c r="O7" s="513"/>
      <c r="P7" s="513">
        <v>197</v>
      </c>
      <c r="Q7" s="513"/>
      <c r="R7" s="514"/>
      <c r="S7" s="517"/>
      <c r="T7" s="522"/>
      <c r="U7" s="523"/>
      <c r="V7" s="513"/>
      <c r="W7" s="513"/>
      <c r="X7" s="513">
        <v>3143</v>
      </c>
      <c r="Y7" s="513">
        <v>2335</v>
      </c>
      <c r="Z7" s="513"/>
      <c r="AA7" s="513"/>
      <c r="AB7" s="513">
        <v>67909.09</v>
      </c>
      <c r="AC7" s="513">
        <v>27000</v>
      </c>
      <c r="AD7" s="513"/>
      <c r="AE7" s="513"/>
      <c r="AF7" s="513"/>
      <c r="AG7" s="513"/>
      <c r="AH7" s="513">
        <v>428</v>
      </c>
      <c r="AI7" s="513">
        <v>436</v>
      </c>
      <c r="AJ7" s="513"/>
      <c r="AK7" s="513"/>
      <c r="AL7" s="513"/>
      <c r="AM7" s="513"/>
      <c r="AN7" s="513"/>
      <c r="AO7" s="513"/>
      <c r="AP7" s="513"/>
      <c r="AQ7" s="513"/>
      <c r="AR7" s="513"/>
      <c r="AS7" s="513"/>
      <c r="AT7" s="513">
        <v>5866</v>
      </c>
      <c r="AU7" s="517">
        <v>2596</v>
      </c>
      <c r="AV7" s="522">
        <f t="shared" si="0"/>
        <v>103258.09</v>
      </c>
      <c r="AW7" s="523">
        <f t="shared" si="1"/>
        <v>58431</v>
      </c>
      <c r="AX7" s="513"/>
      <c r="AY7" s="517"/>
      <c r="AZ7" s="522">
        <f t="shared" si="2"/>
        <v>103258.09</v>
      </c>
      <c r="BA7" s="523">
        <f t="shared" si="3"/>
        <v>58431</v>
      </c>
    </row>
    <row r="8" spans="1:53" x14ac:dyDescent="0.3">
      <c r="A8" s="388" t="s">
        <v>224</v>
      </c>
      <c r="B8" s="522">
        <v>4061</v>
      </c>
      <c r="C8" s="523">
        <v>4061</v>
      </c>
      <c r="D8" s="518"/>
      <c r="E8" s="518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4"/>
      <c r="S8" s="517"/>
      <c r="T8" s="522"/>
      <c r="U8" s="523"/>
      <c r="V8" s="513"/>
      <c r="W8" s="513"/>
      <c r="X8" s="513"/>
      <c r="Y8" s="513"/>
      <c r="Z8" s="513"/>
      <c r="AA8" s="513"/>
      <c r="AB8" s="513"/>
      <c r="AC8" s="513"/>
      <c r="AD8" s="513"/>
      <c r="AE8" s="513"/>
      <c r="AF8" s="513"/>
      <c r="AG8" s="513"/>
      <c r="AH8" s="513"/>
      <c r="AI8" s="513"/>
      <c r="AJ8" s="513"/>
      <c r="AK8" s="513"/>
      <c r="AL8" s="513"/>
      <c r="AM8" s="513"/>
      <c r="AN8" s="513"/>
      <c r="AO8" s="513"/>
      <c r="AP8" s="513"/>
      <c r="AQ8" s="513"/>
      <c r="AR8" s="513"/>
      <c r="AS8" s="513"/>
      <c r="AT8" s="513"/>
      <c r="AU8" s="517"/>
      <c r="AV8" s="522">
        <f t="shared" si="0"/>
        <v>4061</v>
      </c>
      <c r="AW8" s="523">
        <f t="shared" si="1"/>
        <v>4061</v>
      </c>
      <c r="AX8" s="513">
        <v>2942.14</v>
      </c>
      <c r="AY8" s="517">
        <v>2942.14</v>
      </c>
      <c r="AZ8" s="522">
        <f t="shared" si="2"/>
        <v>7003.1399999999994</v>
      </c>
      <c r="BA8" s="523">
        <f t="shared" si="3"/>
        <v>7003.1399999999994</v>
      </c>
    </row>
    <row r="9" spans="1:53" x14ac:dyDescent="0.3">
      <c r="A9" s="388" t="s">
        <v>225</v>
      </c>
      <c r="B9" s="522"/>
      <c r="C9" s="523"/>
      <c r="D9" s="518"/>
      <c r="E9" s="518"/>
      <c r="F9" s="513"/>
      <c r="G9" s="513"/>
      <c r="H9" s="513"/>
      <c r="I9" s="513"/>
      <c r="J9" s="513"/>
      <c r="K9" s="513"/>
      <c r="L9" s="513"/>
      <c r="M9" s="513"/>
      <c r="N9" s="513"/>
      <c r="O9" s="513"/>
      <c r="P9" s="513"/>
      <c r="Q9" s="513"/>
      <c r="R9" s="514"/>
      <c r="S9" s="517"/>
      <c r="T9" s="522"/>
      <c r="U9" s="523"/>
      <c r="V9" s="513"/>
      <c r="W9" s="513"/>
      <c r="X9" s="513"/>
      <c r="Y9" s="513"/>
      <c r="Z9" s="513"/>
      <c r="AA9" s="513"/>
      <c r="AB9" s="513"/>
      <c r="AC9" s="513"/>
      <c r="AD9" s="513"/>
      <c r="AE9" s="513"/>
      <c r="AF9" s="513"/>
      <c r="AG9" s="513"/>
      <c r="AH9" s="513"/>
      <c r="AI9" s="513"/>
      <c r="AJ9" s="513"/>
      <c r="AK9" s="513"/>
      <c r="AL9" s="513"/>
      <c r="AM9" s="513"/>
      <c r="AN9" s="513"/>
      <c r="AO9" s="513"/>
      <c r="AP9" s="513"/>
      <c r="AQ9" s="513"/>
      <c r="AR9" s="513"/>
      <c r="AS9" s="513"/>
      <c r="AT9" s="513"/>
      <c r="AU9" s="517"/>
      <c r="AV9" s="522">
        <f t="shared" si="0"/>
        <v>0</v>
      </c>
      <c r="AW9" s="523">
        <f t="shared" si="1"/>
        <v>0</v>
      </c>
      <c r="AX9" s="513"/>
      <c r="AY9" s="517"/>
      <c r="AZ9" s="522">
        <f t="shared" si="2"/>
        <v>0</v>
      </c>
      <c r="BA9" s="523">
        <f t="shared" si="3"/>
        <v>0</v>
      </c>
    </row>
    <row r="10" spans="1:53" x14ac:dyDescent="0.3">
      <c r="A10" s="388" t="s">
        <v>226</v>
      </c>
      <c r="B10" s="522"/>
      <c r="C10" s="523"/>
      <c r="D10" s="518"/>
      <c r="E10" s="518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4"/>
      <c r="S10" s="517"/>
      <c r="T10" s="522"/>
      <c r="U10" s="523"/>
      <c r="V10" s="513"/>
      <c r="W10" s="513"/>
      <c r="X10" s="513"/>
      <c r="Y10" s="513"/>
      <c r="Z10" s="513"/>
      <c r="AA10" s="513"/>
      <c r="AB10" s="513"/>
      <c r="AC10" s="513"/>
      <c r="AD10" s="513"/>
      <c r="AE10" s="513"/>
      <c r="AF10" s="513"/>
      <c r="AG10" s="513"/>
      <c r="AH10" s="513"/>
      <c r="AI10" s="513"/>
      <c r="AJ10" s="513"/>
      <c r="AK10" s="513"/>
      <c r="AL10" s="513"/>
      <c r="AM10" s="513"/>
      <c r="AN10" s="513"/>
      <c r="AO10" s="513"/>
      <c r="AP10" s="513"/>
      <c r="AQ10" s="513"/>
      <c r="AR10" s="513"/>
      <c r="AS10" s="513"/>
      <c r="AT10" s="513"/>
      <c r="AU10" s="517"/>
      <c r="AV10" s="522">
        <f t="shared" si="0"/>
        <v>0</v>
      </c>
      <c r="AW10" s="523">
        <f t="shared" si="1"/>
        <v>0</v>
      </c>
      <c r="AX10" s="513"/>
      <c r="AY10" s="517"/>
      <c r="AZ10" s="522">
        <f t="shared" si="2"/>
        <v>0</v>
      </c>
      <c r="BA10" s="523">
        <f t="shared" si="3"/>
        <v>0</v>
      </c>
    </row>
    <row r="11" spans="1:53" x14ac:dyDescent="0.3">
      <c r="A11" s="388" t="s">
        <v>227</v>
      </c>
      <c r="B11" s="522"/>
      <c r="C11" s="523"/>
      <c r="D11" s="518"/>
      <c r="E11" s="518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513"/>
      <c r="Q11" s="513"/>
      <c r="R11" s="514"/>
      <c r="S11" s="517"/>
      <c r="T11" s="522"/>
      <c r="U11" s="523"/>
      <c r="V11" s="513"/>
      <c r="W11" s="513"/>
      <c r="X11" s="513"/>
      <c r="Y11" s="513"/>
      <c r="Z11" s="513"/>
      <c r="AA11" s="513"/>
      <c r="AB11" s="513"/>
      <c r="AC11" s="513"/>
      <c r="AD11" s="513"/>
      <c r="AE11" s="513"/>
      <c r="AF11" s="513"/>
      <c r="AG11" s="513"/>
      <c r="AH11" s="513"/>
      <c r="AI11" s="513"/>
      <c r="AJ11" s="513"/>
      <c r="AK11" s="513"/>
      <c r="AL11" s="513"/>
      <c r="AM11" s="513"/>
      <c r="AN11" s="513"/>
      <c r="AO11" s="513"/>
      <c r="AP11" s="513"/>
      <c r="AQ11" s="513"/>
      <c r="AR11" s="513"/>
      <c r="AS11" s="513"/>
      <c r="AT11" s="513"/>
      <c r="AU11" s="517"/>
      <c r="AV11" s="522">
        <f t="shared" si="0"/>
        <v>0</v>
      </c>
      <c r="AW11" s="523">
        <f t="shared" si="1"/>
        <v>0</v>
      </c>
      <c r="AX11" s="513"/>
      <c r="AY11" s="517"/>
      <c r="AZ11" s="522">
        <f t="shared" si="2"/>
        <v>0</v>
      </c>
      <c r="BA11" s="523">
        <f t="shared" si="3"/>
        <v>0</v>
      </c>
    </row>
    <row r="12" spans="1:53" x14ac:dyDescent="0.3">
      <c r="A12" s="388" t="s">
        <v>228</v>
      </c>
      <c r="B12" s="522">
        <v>10489</v>
      </c>
      <c r="C12" s="523">
        <f>3450+4816</f>
        <v>8266</v>
      </c>
      <c r="D12" s="518"/>
      <c r="E12" s="518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4"/>
      <c r="S12" s="517"/>
      <c r="T12" s="522"/>
      <c r="U12" s="523"/>
      <c r="V12" s="513"/>
      <c r="W12" s="513"/>
      <c r="X12" s="513"/>
      <c r="Y12" s="513"/>
      <c r="Z12" s="513"/>
      <c r="AA12" s="513"/>
      <c r="AB12" s="513">
        <v>1000</v>
      </c>
      <c r="AC12" s="513">
        <f>AB12</f>
        <v>1000</v>
      </c>
      <c r="AD12" s="513"/>
      <c r="AE12" s="513"/>
      <c r="AF12" s="513">
        <f>8350+1984</f>
        <v>10334</v>
      </c>
      <c r="AG12" s="513">
        <f>13688+992</f>
        <v>14680</v>
      </c>
      <c r="AH12" s="513"/>
      <c r="AI12" s="513"/>
      <c r="AJ12" s="513"/>
      <c r="AK12" s="513"/>
      <c r="AL12" s="513"/>
      <c r="AM12" s="513"/>
      <c r="AN12" s="513">
        <v>152</v>
      </c>
      <c r="AO12" s="513">
        <v>71</v>
      </c>
      <c r="AP12" s="513"/>
      <c r="AQ12" s="513"/>
      <c r="AR12" s="513">
        <v>1250</v>
      </c>
      <c r="AS12" s="513"/>
      <c r="AT12" s="513">
        <v>4880</v>
      </c>
      <c r="AU12" s="517"/>
      <c r="AV12" s="522">
        <f t="shared" si="0"/>
        <v>28105</v>
      </c>
      <c r="AW12" s="523">
        <f t="shared" si="1"/>
        <v>24017</v>
      </c>
      <c r="AX12" s="513">
        <v>-87.2</v>
      </c>
      <c r="AY12" s="517">
        <v>-70.819999999999993</v>
      </c>
      <c r="AZ12" s="522">
        <f t="shared" si="2"/>
        <v>28017.8</v>
      </c>
      <c r="BA12" s="523">
        <f t="shared" si="3"/>
        <v>23946.18</v>
      </c>
    </row>
    <row r="13" spans="1:53" x14ac:dyDescent="0.3">
      <c r="A13" s="388" t="s">
        <v>229</v>
      </c>
      <c r="B13" s="522">
        <v>23627</v>
      </c>
      <c r="C13" s="523">
        <v>12107</v>
      </c>
      <c r="D13" s="518"/>
      <c r="E13" s="518"/>
      <c r="F13" s="513"/>
      <c r="G13" s="513"/>
      <c r="H13" s="513">
        <v>923191</v>
      </c>
      <c r="I13" s="513">
        <v>926431</v>
      </c>
      <c r="J13" s="513"/>
      <c r="K13" s="513"/>
      <c r="L13" s="513">
        <v>14020</v>
      </c>
      <c r="M13" s="513">
        <v>3315</v>
      </c>
      <c r="N13" s="513"/>
      <c r="O13" s="513"/>
      <c r="P13" s="513"/>
      <c r="Q13" s="513"/>
      <c r="R13" s="514"/>
      <c r="S13" s="517"/>
      <c r="T13" s="522"/>
      <c r="U13" s="523"/>
      <c r="V13" s="513">
        <v>705108</v>
      </c>
      <c r="W13" s="513">
        <v>609744</v>
      </c>
      <c r="X13" s="513">
        <v>435014</v>
      </c>
      <c r="Y13" s="513">
        <v>357364</v>
      </c>
      <c r="Z13" s="513">
        <v>21939</v>
      </c>
      <c r="AA13" s="513">
        <v>15315</v>
      </c>
      <c r="AB13" s="513"/>
      <c r="AC13" s="513"/>
      <c r="AD13" s="513">
        <v>423015</v>
      </c>
      <c r="AE13" s="513">
        <v>322947</v>
      </c>
      <c r="AF13" s="513">
        <v>115544</v>
      </c>
      <c r="AG13" s="513">
        <v>79239</v>
      </c>
      <c r="AH13" s="513"/>
      <c r="AI13" s="513"/>
      <c r="AJ13" s="513"/>
      <c r="AK13" s="513"/>
      <c r="AL13" s="513"/>
      <c r="AM13" s="513"/>
      <c r="AN13" s="513">
        <v>1103367</v>
      </c>
      <c r="AO13" s="513">
        <v>955794</v>
      </c>
      <c r="AP13" s="513">
        <v>52459.38</v>
      </c>
      <c r="AQ13" s="513">
        <v>45353</v>
      </c>
      <c r="AR13" s="513">
        <v>25238</v>
      </c>
      <c r="AS13" s="513">
        <v>10938</v>
      </c>
      <c r="AT13" s="513">
        <v>38797</v>
      </c>
      <c r="AU13" s="517">
        <v>11343</v>
      </c>
      <c r="AV13" s="522">
        <f t="shared" si="0"/>
        <v>3881319.38</v>
      </c>
      <c r="AW13" s="523">
        <f t="shared" si="1"/>
        <v>3349890</v>
      </c>
      <c r="AX13" s="513">
        <v>1970096.63</v>
      </c>
      <c r="AY13" s="517">
        <v>140786.76999999999</v>
      </c>
      <c r="AZ13" s="522">
        <f t="shared" si="2"/>
        <v>5851416.0099999998</v>
      </c>
      <c r="BA13" s="523">
        <f t="shared" si="3"/>
        <v>3490676.77</v>
      </c>
    </row>
    <row r="14" spans="1:53" s="386" customFormat="1" ht="17.25" thickBot="1" x14ac:dyDescent="0.35">
      <c r="A14" s="528" t="s">
        <v>54</v>
      </c>
      <c r="B14" s="524">
        <f t="shared" ref="B14:AY14" si="4">SUM(B4:B13)</f>
        <v>65006</v>
      </c>
      <c r="C14" s="384">
        <f t="shared" si="4"/>
        <v>51263</v>
      </c>
      <c r="D14" s="383">
        <f t="shared" si="4"/>
        <v>135593</v>
      </c>
      <c r="E14" s="384">
        <f t="shared" si="4"/>
        <v>106061</v>
      </c>
      <c r="F14" s="384">
        <f t="shared" si="4"/>
        <v>0</v>
      </c>
      <c r="G14" s="384">
        <f t="shared" si="4"/>
        <v>0</v>
      </c>
      <c r="H14" s="384">
        <f t="shared" si="4"/>
        <v>1034450</v>
      </c>
      <c r="I14" s="384">
        <f t="shared" si="4"/>
        <v>1037569</v>
      </c>
      <c r="J14" s="384">
        <f t="shared" si="4"/>
        <v>21196</v>
      </c>
      <c r="K14" s="384">
        <f t="shared" si="4"/>
        <v>21666</v>
      </c>
      <c r="L14" s="384">
        <f t="shared" si="4"/>
        <v>26520</v>
      </c>
      <c r="M14" s="384">
        <f t="shared" si="4"/>
        <v>15815</v>
      </c>
      <c r="N14" s="384">
        <f t="shared" si="4"/>
        <v>83292</v>
      </c>
      <c r="O14" s="384">
        <f t="shared" si="4"/>
        <v>83292</v>
      </c>
      <c r="P14" s="384">
        <f t="shared" si="4"/>
        <v>171389</v>
      </c>
      <c r="Q14" s="384">
        <f t="shared" si="4"/>
        <v>171192</v>
      </c>
      <c r="R14" s="384">
        <f t="shared" si="4"/>
        <v>0</v>
      </c>
      <c r="S14" s="385">
        <f t="shared" si="4"/>
        <v>0</v>
      </c>
      <c r="T14" s="524">
        <f t="shared" si="4"/>
        <v>10000</v>
      </c>
      <c r="U14" s="384">
        <f t="shared" si="4"/>
        <v>10000</v>
      </c>
      <c r="V14" s="383">
        <f t="shared" si="4"/>
        <v>1559719</v>
      </c>
      <c r="W14" s="383">
        <f t="shared" si="4"/>
        <v>666240</v>
      </c>
      <c r="X14" s="383">
        <f t="shared" si="4"/>
        <v>791056</v>
      </c>
      <c r="Y14" s="383">
        <f t="shared" si="4"/>
        <v>707248</v>
      </c>
      <c r="Z14" s="383">
        <f t="shared" si="4"/>
        <v>21939</v>
      </c>
      <c r="AA14" s="383">
        <f t="shared" si="4"/>
        <v>15315</v>
      </c>
      <c r="AB14" s="383">
        <f t="shared" si="4"/>
        <v>68909.09</v>
      </c>
      <c r="AC14" s="383">
        <f t="shared" si="4"/>
        <v>28000</v>
      </c>
      <c r="AD14" s="383">
        <f t="shared" si="4"/>
        <v>428219</v>
      </c>
      <c r="AE14" s="383">
        <f t="shared" si="4"/>
        <v>328151</v>
      </c>
      <c r="AF14" s="383">
        <f t="shared" si="4"/>
        <v>135083</v>
      </c>
      <c r="AG14" s="383">
        <f t="shared" si="4"/>
        <v>103124</v>
      </c>
      <c r="AH14" s="383">
        <f t="shared" si="4"/>
        <v>428</v>
      </c>
      <c r="AI14" s="383">
        <f t="shared" si="4"/>
        <v>436</v>
      </c>
      <c r="AJ14" s="383">
        <f t="shared" si="4"/>
        <v>30316</v>
      </c>
      <c r="AK14" s="383">
        <f t="shared" si="4"/>
        <v>30316</v>
      </c>
      <c r="AL14" s="383">
        <f t="shared" si="4"/>
        <v>0</v>
      </c>
      <c r="AM14" s="383"/>
      <c r="AN14" s="383">
        <f>SUM(AN4:AN13)</f>
        <v>1108007</v>
      </c>
      <c r="AO14" s="383">
        <f t="shared" si="4"/>
        <v>957144</v>
      </c>
      <c r="AP14" s="383">
        <f t="shared" si="4"/>
        <v>52839.57</v>
      </c>
      <c r="AQ14" s="383">
        <f>SUM(AQ4:AQ13)</f>
        <v>45699</v>
      </c>
      <c r="AR14" s="383">
        <f t="shared" si="4"/>
        <v>53349</v>
      </c>
      <c r="AS14" s="383">
        <f t="shared" si="4"/>
        <v>37799</v>
      </c>
      <c r="AT14" s="384">
        <f t="shared" si="4"/>
        <v>49543</v>
      </c>
      <c r="AU14" s="385">
        <f t="shared" si="4"/>
        <v>13939</v>
      </c>
      <c r="AV14" s="554">
        <f t="shared" si="0"/>
        <v>5846853.6600000001</v>
      </c>
      <c r="AW14" s="555">
        <f t="shared" si="1"/>
        <v>4430269</v>
      </c>
      <c r="AX14" s="383">
        <f t="shared" si="4"/>
        <v>1972951.5699999998</v>
      </c>
      <c r="AY14" s="385">
        <f t="shared" si="4"/>
        <v>143658.09</v>
      </c>
      <c r="AZ14" s="554">
        <f t="shared" si="2"/>
        <v>7819805.2300000004</v>
      </c>
      <c r="BA14" s="555">
        <f t="shared" si="3"/>
        <v>4573927.09</v>
      </c>
    </row>
  </sheetData>
  <mergeCells count="28">
    <mergeCell ref="AZ2:BA2"/>
    <mergeCell ref="AX2:AY2"/>
    <mergeCell ref="AV2:AW2"/>
    <mergeCell ref="AD2:AE2"/>
    <mergeCell ref="AF2:AG2"/>
    <mergeCell ref="AH2:AI2"/>
    <mergeCell ref="AT2:AU2"/>
    <mergeCell ref="AR2:AS2"/>
    <mergeCell ref="AP2:AQ2"/>
    <mergeCell ref="AN2:AO2"/>
    <mergeCell ref="AL2:AM2"/>
    <mergeCell ref="AJ2:AK2"/>
    <mergeCell ref="AB2:AC2"/>
    <mergeCell ref="A2:A3"/>
    <mergeCell ref="A1:AZ1"/>
    <mergeCell ref="B2:C2"/>
    <mergeCell ref="D2:E2"/>
    <mergeCell ref="F2:G2"/>
    <mergeCell ref="H2:I2"/>
    <mergeCell ref="L2:M2"/>
    <mergeCell ref="J2:K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BA8"/>
  <sheetViews>
    <sheetView workbookViewId="0">
      <pane xSplit="1" topLeftCell="B1" activePane="topRight" state="frozen"/>
      <selection pane="topRight"/>
    </sheetView>
  </sheetViews>
  <sheetFormatPr defaultRowHeight="16.5" x14ac:dyDescent="0.3"/>
  <cols>
    <col min="1" max="1" width="18.85546875" style="61" customWidth="1"/>
    <col min="2" max="7" width="10.42578125" style="61" bestFit="1" customWidth="1"/>
    <col min="8" max="9" width="10.42578125" style="61" customWidth="1"/>
    <col min="10" max="25" width="10.42578125" style="61" bestFit="1" customWidth="1"/>
    <col min="26" max="27" width="10.42578125" style="61" customWidth="1"/>
    <col min="28" max="29" width="10.42578125" style="61" bestFit="1" customWidth="1"/>
    <col min="30" max="33" width="10.42578125" style="61" customWidth="1"/>
    <col min="34" max="49" width="10.42578125" style="61" bestFit="1" customWidth="1"/>
    <col min="50" max="51" width="10.42578125" style="61" customWidth="1"/>
    <col min="52" max="53" width="10.42578125" style="61" bestFit="1" customWidth="1"/>
    <col min="54" max="16384" width="9.140625" style="61"/>
  </cols>
  <sheetData>
    <row r="1" spans="1:53" s="294" customFormat="1" ht="17.25" thickBot="1" x14ac:dyDescent="0.4">
      <c r="A1" s="951" t="s">
        <v>365</v>
      </c>
    </row>
    <row r="2" spans="1:53" ht="129" customHeight="1" thickBot="1" x14ac:dyDescent="0.35">
      <c r="A2" s="1093" t="s">
        <v>0</v>
      </c>
      <c r="B2" s="1026" t="s">
        <v>149</v>
      </c>
      <c r="C2" s="1027"/>
      <c r="D2" s="1021" t="s">
        <v>150</v>
      </c>
      <c r="E2" s="1022"/>
      <c r="F2" s="1021" t="s">
        <v>151</v>
      </c>
      <c r="G2" s="1022"/>
      <c r="H2" s="1021" t="s">
        <v>152</v>
      </c>
      <c r="I2" s="1022"/>
      <c r="J2" s="1021" t="s">
        <v>153</v>
      </c>
      <c r="K2" s="1022"/>
      <c r="L2" s="1021" t="s">
        <v>154</v>
      </c>
      <c r="M2" s="1022"/>
      <c r="N2" s="1021" t="s">
        <v>253</v>
      </c>
      <c r="O2" s="1022"/>
      <c r="P2" s="1021" t="s">
        <v>155</v>
      </c>
      <c r="Q2" s="1022"/>
      <c r="R2" s="1021" t="s">
        <v>156</v>
      </c>
      <c r="S2" s="1022"/>
      <c r="T2" s="1021" t="s">
        <v>157</v>
      </c>
      <c r="U2" s="1022"/>
      <c r="V2" s="1021" t="s">
        <v>158</v>
      </c>
      <c r="W2" s="1022"/>
      <c r="X2" s="1021" t="s">
        <v>159</v>
      </c>
      <c r="Y2" s="1022"/>
      <c r="Z2" s="1021" t="s">
        <v>359</v>
      </c>
      <c r="AA2" s="1022"/>
      <c r="AB2" s="1021" t="s">
        <v>160</v>
      </c>
      <c r="AC2" s="1022"/>
      <c r="AD2" s="1021" t="s">
        <v>161</v>
      </c>
      <c r="AE2" s="1022"/>
      <c r="AF2" s="1021" t="s">
        <v>162</v>
      </c>
      <c r="AG2" s="1022"/>
      <c r="AH2" s="1021" t="s">
        <v>163</v>
      </c>
      <c r="AI2" s="1022"/>
      <c r="AJ2" s="1021" t="s">
        <v>164</v>
      </c>
      <c r="AK2" s="1022"/>
      <c r="AL2" s="1021" t="s">
        <v>165</v>
      </c>
      <c r="AM2" s="1022"/>
      <c r="AN2" s="1021" t="s">
        <v>166</v>
      </c>
      <c r="AO2" s="1022"/>
      <c r="AP2" s="1021" t="s">
        <v>167</v>
      </c>
      <c r="AQ2" s="1061"/>
      <c r="AR2" s="1021" t="s">
        <v>168</v>
      </c>
      <c r="AS2" s="1022"/>
      <c r="AT2" s="1021" t="s">
        <v>169</v>
      </c>
      <c r="AU2" s="1022"/>
      <c r="AV2" s="1021" t="s">
        <v>1</v>
      </c>
      <c r="AW2" s="1061"/>
      <c r="AX2" s="1021" t="s">
        <v>170</v>
      </c>
      <c r="AY2" s="1061"/>
      <c r="AZ2" s="1021" t="s">
        <v>2</v>
      </c>
      <c r="BA2" s="1022"/>
    </row>
    <row r="3" spans="1:53" s="333" customFormat="1" ht="31.5" customHeight="1" thickBot="1" x14ac:dyDescent="0.35">
      <c r="A3" s="1094"/>
      <c r="B3" s="407" t="s">
        <v>371</v>
      </c>
      <c r="C3" s="407" t="s">
        <v>354</v>
      </c>
      <c r="D3" s="407" t="s">
        <v>371</v>
      </c>
      <c r="E3" s="407" t="s">
        <v>354</v>
      </c>
      <c r="F3" s="407" t="s">
        <v>371</v>
      </c>
      <c r="G3" s="407" t="s">
        <v>354</v>
      </c>
      <c r="H3" s="407" t="s">
        <v>371</v>
      </c>
      <c r="I3" s="407" t="s">
        <v>354</v>
      </c>
      <c r="J3" s="407" t="s">
        <v>371</v>
      </c>
      <c r="K3" s="407" t="s">
        <v>354</v>
      </c>
      <c r="L3" s="407" t="s">
        <v>371</v>
      </c>
      <c r="M3" s="407" t="s">
        <v>354</v>
      </c>
      <c r="N3" s="407" t="s">
        <v>371</v>
      </c>
      <c r="O3" s="407" t="s">
        <v>354</v>
      </c>
      <c r="P3" s="407" t="s">
        <v>371</v>
      </c>
      <c r="Q3" s="407" t="s">
        <v>354</v>
      </c>
      <c r="R3" s="407" t="s">
        <v>371</v>
      </c>
      <c r="S3" s="407" t="s">
        <v>354</v>
      </c>
      <c r="T3" s="407" t="s">
        <v>371</v>
      </c>
      <c r="U3" s="407" t="s">
        <v>354</v>
      </c>
      <c r="V3" s="407" t="s">
        <v>371</v>
      </c>
      <c r="W3" s="407" t="s">
        <v>354</v>
      </c>
      <c r="X3" s="407" t="s">
        <v>371</v>
      </c>
      <c r="Y3" s="407" t="s">
        <v>354</v>
      </c>
      <c r="Z3" s="407" t="s">
        <v>371</v>
      </c>
      <c r="AA3" s="407" t="s">
        <v>354</v>
      </c>
      <c r="AB3" s="407" t="s">
        <v>371</v>
      </c>
      <c r="AC3" s="407" t="s">
        <v>354</v>
      </c>
      <c r="AD3" s="407" t="s">
        <v>371</v>
      </c>
      <c r="AE3" s="407" t="s">
        <v>354</v>
      </c>
      <c r="AF3" s="407" t="s">
        <v>371</v>
      </c>
      <c r="AG3" s="407" t="s">
        <v>354</v>
      </c>
      <c r="AH3" s="407" t="s">
        <v>371</v>
      </c>
      <c r="AI3" s="407" t="s">
        <v>354</v>
      </c>
      <c r="AJ3" s="407" t="s">
        <v>371</v>
      </c>
      <c r="AK3" s="407" t="s">
        <v>354</v>
      </c>
      <c r="AL3" s="407" t="s">
        <v>371</v>
      </c>
      <c r="AM3" s="407" t="s">
        <v>354</v>
      </c>
      <c r="AN3" s="407" t="s">
        <v>371</v>
      </c>
      <c r="AO3" s="407" t="s">
        <v>354</v>
      </c>
      <c r="AP3" s="407" t="s">
        <v>371</v>
      </c>
      <c r="AQ3" s="407" t="s">
        <v>354</v>
      </c>
      <c r="AR3" s="407" t="s">
        <v>371</v>
      </c>
      <c r="AS3" s="407" t="s">
        <v>354</v>
      </c>
      <c r="AT3" s="407" t="s">
        <v>371</v>
      </c>
      <c r="AU3" s="407" t="s">
        <v>354</v>
      </c>
      <c r="AV3" s="407" t="s">
        <v>371</v>
      </c>
      <c r="AW3" s="883" t="s">
        <v>354</v>
      </c>
      <c r="AX3" s="407" t="s">
        <v>371</v>
      </c>
      <c r="AY3" s="883" t="s">
        <v>354</v>
      </c>
      <c r="AZ3" s="407" t="s">
        <v>371</v>
      </c>
      <c r="BA3" s="407" t="s">
        <v>354</v>
      </c>
    </row>
    <row r="4" spans="1:53" x14ac:dyDescent="0.3">
      <c r="A4" s="290" t="s">
        <v>230</v>
      </c>
      <c r="B4" s="870">
        <v>50000</v>
      </c>
      <c r="C4" s="870">
        <v>34500</v>
      </c>
      <c r="D4" s="286">
        <v>7000</v>
      </c>
      <c r="E4" s="286">
        <v>7000</v>
      </c>
      <c r="F4" s="286">
        <v>0</v>
      </c>
      <c r="G4" s="286"/>
      <c r="H4" s="870">
        <v>0</v>
      </c>
      <c r="I4" s="870">
        <v>0</v>
      </c>
      <c r="J4" s="286">
        <v>6000</v>
      </c>
      <c r="K4" s="286">
        <v>6000</v>
      </c>
      <c r="L4" s="870">
        <v>0</v>
      </c>
      <c r="M4" s="870">
        <v>0</v>
      </c>
      <c r="N4" s="870">
        <v>0</v>
      </c>
      <c r="O4" s="870">
        <v>0</v>
      </c>
      <c r="P4" s="870">
        <v>0</v>
      </c>
      <c r="Q4" s="870">
        <v>0</v>
      </c>
      <c r="R4" s="286">
        <v>0</v>
      </c>
      <c r="S4" s="286">
        <v>0</v>
      </c>
      <c r="T4" s="870">
        <v>3000</v>
      </c>
      <c r="U4" s="870">
        <v>3000</v>
      </c>
      <c r="V4" s="286">
        <v>95000</v>
      </c>
      <c r="W4" s="286">
        <v>60000</v>
      </c>
      <c r="X4" s="286">
        <v>120000</v>
      </c>
      <c r="Y4" s="286">
        <v>120000</v>
      </c>
      <c r="Z4" s="870">
        <v>0</v>
      </c>
      <c r="AA4" s="870">
        <v>0</v>
      </c>
      <c r="AB4" s="286">
        <v>22500</v>
      </c>
      <c r="AC4" s="286">
        <v>10000</v>
      </c>
      <c r="AD4" s="870">
        <v>0</v>
      </c>
      <c r="AE4" s="870"/>
      <c r="AF4" s="870">
        <v>49600</v>
      </c>
      <c r="AG4" s="870">
        <v>49600</v>
      </c>
      <c r="AH4" s="870">
        <v>40000</v>
      </c>
      <c r="AI4" s="870">
        <v>0</v>
      </c>
      <c r="AJ4" s="870">
        <v>0</v>
      </c>
      <c r="AK4" s="870">
        <v>0</v>
      </c>
      <c r="AL4" s="286">
        <v>0</v>
      </c>
      <c r="AM4" s="286"/>
      <c r="AN4" s="870">
        <v>0</v>
      </c>
      <c r="AO4" s="870">
        <v>0</v>
      </c>
      <c r="AP4" s="870">
        <v>0</v>
      </c>
      <c r="AQ4" s="905">
        <v>0</v>
      </c>
      <c r="AR4" s="834">
        <v>12500</v>
      </c>
      <c r="AS4" s="854">
        <v>0</v>
      </c>
      <c r="AT4" s="853">
        <v>4880000</v>
      </c>
      <c r="AU4" s="855">
        <v>0</v>
      </c>
      <c r="AV4" s="884"/>
      <c r="AW4" s="910"/>
      <c r="AX4" s="837"/>
      <c r="AY4" s="836"/>
      <c r="AZ4" s="884"/>
      <c r="BA4" s="288"/>
    </row>
    <row r="5" spans="1:53" x14ac:dyDescent="0.3">
      <c r="A5" s="285" t="s">
        <v>231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 t="s">
        <v>237</v>
      </c>
      <c r="AQ5" s="291"/>
      <c r="AR5" s="837"/>
      <c r="AS5" s="287"/>
      <c r="AT5" s="292"/>
      <c r="AU5" s="855"/>
      <c r="AV5" s="837"/>
      <c r="AW5" s="836"/>
      <c r="AX5" s="837"/>
      <c r="AY5" s="836"/>
      <c r="AZ5" s="837"/>
      <c r="BA5" s="289"/>
    </row>
    <row r="6" spans="1:53" x14ac:dyDescent="0.3">
      <c r="A6" s="285" t="s">
        <v>232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91"/>
      <c r="AR6" s="837"/>
      <c r="AS6" s="287"/>
      <c r="AT6" s="292"/>
      <c r="AU6" s="855"/>
      <c r="AV6" s="837"/>
      <c r="AW6" s="836"/>
      <c r="AX6" s="837"/>
      <c r="AY6" s="836"/>
      <c r="AZ6" s="837"/>
      <c r="BA6" s="289"/>
    </row>
    <row r="7" spans="1:53" x14ac:dyDescent="0.3">
      <c r="A7" s="285" t="s">
        <v>74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91"/>
      <c r="AR7" s="837"/>
      <c r="AS7" s="287"/>
      <c r="AT7" s="292"/>
      <c r="AU7" s="855"/>
      <c r="AV7" s="837"/>
      <c r="AW7" s="836"/>
      <c r="AX7" s="837"/>
      <c r="AY7" s="836"/>
      <c r="AZ7" s="837"/>
      <c r="BA7" s="289"/>
    </row>
    <row r="8" spans="1:53" s="333" customFormat="1" ht="17.25" thickBot="1" x14ac:dyDescent="0.35">
      <c r="A8" s="381" t="s">
        <v>54</v>
      </c>
      <c r="B8" s="382">
        <f>SUM(B4:B7)</f>
        <v>50000</v>
      </c>
      <c r="C8" s="382">
        <f>C4</f>
        <v>34500</v>
      </c>
      <c r="D8" s="382">
        <f t="shared" ref="D8:AZ8" si="0">SUM(D4:D7)</f>
        <v>7000</v>
      </c>
      <c r="E8" s="382">
        <v>7000</v>
      </c>
      <c r="F8" s="382">
        <f t="shared" si="0"/>
        <v>0</v>
      </c>
      <c r="G8" s="382"/>
      <c r="H8" s="382">
        <f t="shared" si="0"/>
        <v>0</v>
      </c>
      <c r="I8" s="382">
        <v>0</v>
      </c>
      <c r="J8" s="382">
        <f t="shared" si="0"/>
        <v>6000</v>
      </c>
      <c r="K8" s="382">
        <f>K4</f>
        <v>6000</v>
      </c>
      <c r="L8" s="382">
        <f t="shared" si="0"/>
        <v>0</v>
      </c>
      <c r="M8" s="382">
        <v>0</v>
      </c>
      <c r="N8" s="382">
        <f t="shared" si="0"/>
        <v>0</v>
      </c>
      <c r="O8" s="382">
        <v>0</v>
      </c>
      <c r="P8" s="382">
        <f t="shared" si="0"/>
        <v>0</v>
      </c>
      <c r="Q8" s="382">
        <v>0</v>
      </c>
      <c r="R8" s="382">
        <f t="shared" si="0"/>
        <v>0</v>
      </c>
      <c r="S8" s="382">
        <v>0</v>
      </c>
      <c r="T8" s="382">
        <f t="shared" si="0"/>
        <v>3000</v>
      </c>
      <c r="U8" s="382">
        <v>3000</v>
      </c>
      <c r="V8" s="382">
        <f t="shared" si="0"/>
        <v>95000</v>
      </c>
      <c r="W8" s="382">
        <f>W4</f>
        <v>60000</v>
      </c>
      <c r="X8" s="382">
        <f t="shared" si="0"/>
        <v>120000</v>
      </c>
      <c r="Y8" s="382">
        <v>120000</v>
      </c>
      <c r="Z8" s="382">
        <f t="shared" si="0"/>
        <v>0</v>
      </c>
      <c r="AA8" s="382">
        <v>0</v>
      </c>
      <c r="AB8" s="382">
        <f t="shared" si="0"/>
        <v>22500</v>
      </c>
      <c r="AC8" s="382">
        <f>AC4</f>
        <v>10000</v>
      </c>
      <c r="AD8" s="382">
        <f t="shared" si="0"/>
        <v>0</v>
      </c>
      <c r="AE8" s="382"/>
      <c r="AF8" s="382">
        <f t="shared" si="0"/>
        <v>49600</v>
      </c>
      <c r="AG8" s="382">
        <v>49600</v>
      </c>
      <c r="AH8" s="382">
        <f t="shared" si="0"/>
        <v>40000</v>
      </c>
      <c r="AI8" s="382">
        <v>0</v>
      </c>
      <c r="AJ8" s="382">
        <f t="shared" si="0"/>
        <v>0</v>
      </c>
      <c r="AK8" s="382">
        <v>0</v>
      </c>
      <c r="AL8" s="382">
        <f t="shared" si="0"/>
        <v>0</v>
      </c>
      <c r="AM8" s="382"/>
      <c r="AN8" s="382">
        <f t="shared" si="0"/>
        <v>0</v>
      </c>
      <c r="AO8" s="382">
        <v>0</v>
      </c>
      <c r="AP8" s="382">
        <f t="shared" si="0"/>
        <v>0</v>
      </c>
      <c r="AQ8" s="906">
        <v>0</v>
      </c>
      <c r="AR8" s="907">
        <f t="shared" si="0"/>
        <v>12500</v>
      </c>
      <c r="AS8" s="382">
        <v>0</v>
      </c>
      <c r="AT8" s="907">
        <f t="shared" si="0"/>
        <v>4880000</v>
      </c>
      <c r="AU8" s="906">
        <v>0</v>
      </c>
      <c r="AV8" s="908">
        <f t="shared" si="0"/>
        <v>0</v>
      </c>
      <c r="AW8" s="911"/>
      <c r="AX8" s="908">
        <f t="shared" si="0"/>
        <v>0</v>
      </c>
      <c r="AY8" s="911"/>
      <c r="AZ8" s="908">
        <f t="shared" si="0"/>
        <v>0</v>
      </c>
      <c r="BA8" s="909"/>
    </row>
  </sheetData>
  <mergeCells count="27">
    <mergeCell ref="A2:A3"/>
    <mergeCell ref="AD2:AE2"/>
    <mergeCell ref="AF2:AG2"/>
    <mergeCell ref="AH2:AI2"/>
    <mergeCell ref="AJ2:AK2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Z2:BA2"/>
    <mergeCell ref="AX2:AY2"/>
    <mergeCell ref="AL2:AM2"/>
    <mergeCell ref="AN2:AO2"/>
    <mergeCell ref="AP2:AQ2"/>
    <mergeCell ref="AR2:AS2"/>
    <mergeCell ref="AT2:AU2"/>
    <mergeCell ref="AV2:AW2"/>
  </mergeCells>
  <pageMargins left="0.7" right="0.7" top="0.75" bottom="0.75" header="0.3" footer="0.3"/>
  <pageSetup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L1</vt:lpstr>
      <vt:lpstr>L2</vt:lpstr>
      <vt:lpstr>L3</vt:lpstr>
      <vt:lpstr>L4</vt:lpstr>
      <vt:lpstr>L5</vt:lpstr>
      <vt:lpstr>L6</vt:lpstr>
      <vt:lpstr>L7</vt:lpstr>
      <vt:lpstr>L10</vt:lpstr>
      <vt:lpstr>L11</vt:lpstr>
      <vt:lpstr>L15</vt:lpstr>
      <vt:lpstr>L37FPI</vt:lpstr>
      <vt:lpstr>L37Lives</vt:lpstr>
      <vt:lpstr>L38 FPI</vt:lpstr>
      <vt:lpstr>L38 NOP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Pande Sandeep</dc:creator>
  <cp:lastModifiedBy>Pande Sandeep</cp:lastModifiedBy>
  <dcterms:created xsi:type="dcterms:W3CDTF">2019-02-21T06:27:16Z</dcterms:created>
  <dcterms:modified xsi:type="dcterms:W3CDTF">2023-01-02T11:16:21Z</dcterms:modified>
</cp:coreProperties>
</file>